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vlaamseoverheid-my.sharepoint.com/personal/korinne_laenen_vlaio_be/Documents/energiesteun/ES2_documenten/"/>
    </mc:Choice>
  </mc:AlternateContent>
  <xr:revisionPtr revIDLastSave="2" documentId="8_{5351BE06-2FF6-4AC5-9E08-8D9CA6196035}" xr6:coauthVersionLast="47" xr6:coauthVersionMax="47" xr10:uidLastSave="{460A6390-3620-491D-9C60-247D46853F2E}"/>
  <bookViews>
    <workbookView xWindow="-28920" yWindow="-120" windowWidth="29040" windowHeight="15840" activeTab="6" xr2:uid="{10813F6E-8154-4825-8F9E-AD07627FF0D7}"/>
  </bookViews>
  <sheets>
    <sheet name="Toelichting" sheetId="13" r:id="rId1"/>
    <sheet name="Invoer aardgas" sheetId="8" r:id="rId2"/>
    <sheet name="Invoer elektriciteit" sheetId="9" r:id="rId3"/>
    <sheet name="Resultaat" sheetId="11" r:id="rId4"/>
    <sheet name="Invoer website" sheetId="12" r:id="rId5"/>
    <sheet name="Energieprijzen kmo's" sheetId="1" r:id="rId6"/>
    <sheet name="Maandelijks verbruik" sheetId="2" r:id="rId7"/>
    <sheet name="SLP" sheetId="3" state="hidden" r:id="rId8"/>
    <sheet name="Berekening gas" sheetId="4" state="hidden" r:id="rId9"/>
    <sheet name="Berekening elektriciteit" sheetId="10"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4" i="4" l="1"/>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23" i="4"/>
  <c r="AB31" i="4"/>
  <c r="AB39" i="4"/>
  <c r="AB47" i="4"/>
  <c r="W28" i="4"/>
  <c r="W36" i="4"/>
  <c r="W44" i="4"/>
  <c r="AO28" i="10"/>
  <c r="AO29" i="10"/>
  <c r="AO30" i="10"/>
  <c r="AO31" i="10"/>
  <c r="AO32" i="10"/>
  <c r="AO33" i="10"/>
  <c r="AO34" i="10"/>
  <c r="AO35" i="10"/>
  <c r="AO36" i="10"/>
  <c r="AO37" i="10"/>
  <c r="AO38" i="10"/>
  <c r="AO39" i="10"/>
  <c r="AO40" i="10"/>
  <c r="AO41" i="10"/>
  <c r="AO42" i="10"/>
  <c r="AO43" i="10"/>
  <c r="AO44" i="10"/>
  <c r="AO45" i="10"/>
  <c r="AO46" i="10"/>
  <c r="AO47" i="10"/>
  <c r="AO48" i="10"/>
  <c r="AO49" i="10"/>
  <c r="AO50" i="10"/>
  <c r="AO51" i="10"/>
  <c r="AO52" i="10"/>
  <c r="AO53" i="10"/>
  <c r="AJ28" i="10"/>
  <c r="AJ29" i="10"/>
  <c r="AJ30" i="10"/>
  <c r="AJ31" i="10"/>
  <c r="AJ32" i="10"/>
  <c r="AJ33" i="10"/>
  <c r="AJ34" i="10"/>
  <c r="AJ35" i="10"/>
  <c r="AJ36" i="10"/>
  <c r="AJ37" i="10"/>
  <c r="AJ38" i="10"/>
  <c r="AJ39" i="10"/>
  <c r="AJ40" i="10"/>
  <c r="AJ41" i="10"/>
  <c r="AJ42" i="10"/>
  <c r="AJ43" i="10"/>
  <c r="AJ44" i="10"/>
  <c r="AJ45" i="10"/>
  <c r="AJ46" i="10"/>
  <c r="AJ47" i="10"/>
  <c r="AJ48" i="10"/>
  <c r="AJ49" i="10"/>
  <c r="AJ50" i="10"/>
  <c r="AJ51" i="10"/>
  <c r="AI51" i="10" s="1"/>
  <c r="AK51" i="10" s="1"/>
  <c r="AL51" i="10" s="1"/>
  <c r="AJ52" i="10"/>
  <c r="AJ53" i="10"/>
  <c r="AO27" i="10"/>
  <c r="AJ27" i="10"/>
  <c r="Z31" i="10"/>
  <c r="Z39" i="10"/>
  <c r="Z47" i="10"/>
  <c r="C24" i="4"/>
  <c r="E24" i="4"/>
  <c r="C27" i="10"/>
  <c r="Z30" i="10" s="1"/>
  <c r="E27" i="10"/>
  <c r="G13" i="10"/>
  <c r="U13" i="10"/>
  <c r="AB13" i="10"/>
  <c r="G14" i="10"/>
  <c r="U14" i="10"/>
  <c r="AB14" i="10"/>
  <c r="U20" i="10"/>
  <c r="G27" i="9"/>
  <c r="G21" i="9"/>
  <c r="G20" i="10"/>
  <c r="U21" i="10"/>
  <c r="W51" i="10"/>
  <c r="G27" i="10"/>
  <c r="C28" i="10"/>
  <c r="AE35" i="10" s="1"/>
  <c r="E28" i="10"/>
  <c r="G28" i="10"/>
  <c r="J28" i="10"/>
  <c r="G16" i="10"/>
  <c r="G17" i="10"/>
  <c r="G18" i="10"/>
  <c r="C29" i="10"/>
  <c r="E29" i="10"/>
  <c r="G29" i="10"/>
  <c r="J29" i="10"/>
  <c r="W52" i="10"/>
  <c r="AI52" i="10"/>
  <c r="AK52" i="10" s="1"/>
  <c r="AL52" i="10" s="1"/>
  <c r="W53" i="10"/>
  <c r="AI53" i="10"/>
  <c r="AK53" i="10"/>
  <c r="AL53" i="10" s="1"/>
  <c r="C23" i="4"/>
  <c r="E23" i="4"/>
  <c r="C25" i="4"/>
  <c r="E25" i="4"/>
  <c r="AF47" i="4"/>
  <c r="D36" i="1"/>
  <c r="D37" i="1"/>
  <c r="D38" i="1"/>
  <c r="J27" i="10"/>
  <c r="W27" i="10"/>
  <c r="AI27" i="10"/>
  <c r="AK27" i="10" s="1"/>
  <c r="AL27" i="10" s="1"/>
  <c r="W28" i="10"/>
  <c r="AI28" i="10"/>
  <c r="AK28" i="10"/>
  <c r="AL28" i="10" s="1"/>
  <c r="W29" i="10"/>
  <c r="AI29" i="10"/>
  <c r="AK29" i="10" s="1"/>
  <c r="AL29" i="10" s="1"/>
  <c r="W30" i="10"/>
  <c r="AI30" i="10"/>
  <c r="AK30" i="10"/>
  <c r="AL30" i="10" s="1"/>
  <c r="Y31" i="10"/>
  <c r="AA31" i="10" s="1"/>
  <c r="W31" i="10"/>
  <c r="AI31" i="10"/>
  <c r="AK31" i="10" s="1"/>
  <c r="AL31" i="10" s="1"/>
  <c r="W32" i="10"/>
  <c r="AI32" i="10"/>
  <c r="AK32" i="10"/>
  <c r="AL32" i="10" s="1"/>
  <c r="W33" i="10"/>
  <c r="AI33" i="10"/>
  <c r="AK33" i="10"/>
  <c r="AL33" i="10"/>
  <c r="W34" i="10"/>
  <c r="AI34" i="10"/>
  <c r="AK34" i="10"/>
  <c r="AL34" i="10"/>
  <c r="W35" i="10"/>
  <c r="AI35" i="10"/>
  <c r="AK35" i="10" s="1"/>
  <c r="AL35" i="10" s="1"/>
  <c r="W36" i="10"/>
  <c r="AI36" i="10"/>
  <c r="AK36" i="10"/>
  <c r="AL36" i="10" s="1"/>
  <c r="W37" i="10"/>
  <c r="AI37" i="10"/>
  <c r="AK37" i="10" s="1"/>
  <c r="W38" i="10"/>
  <c r="AI38" i="10"/>
  <c r="AK38" i="10"/>
  <c r="AL38" i="10" s="1"/>
  <c r="G23" i="4"/>
  <c r="I23" i="4"/>
  <c r="G13" i="4"/>
  <c r="R13" i="4"/>
  <c r="Y13" i="4"/>
  <c r="G14" i="4"/>
  <c r="R14" i="4"/>
  <c r="Y14" i="4" s="1"/>
  <c r="R16" i="4" s="1"/>
  <c r="R17" i="4" s="1"/>
  <c r="T29" i="4" s="1"/>
  <c r="G16" i="4"/>
  <c r="G24" i="4"/>
  <c r="R49" i="4"/>
  <c r="I24" i="4"/>
  <c r="AF49" i="4"/>
  <c r="G25" i="4"/>
  <c r="AF23" i="4"/>
  <c r="AF24" i="4"/>
  <c r="AF25" i="4"/>
  <c r="AF26" i="4"/>
  <c r="AF27" i="4"/>
  <c r="AF28" i="4"/>
  <c r="AF29" i="4"/>
  <c r="AF30" i="4"/>
  <c r="AF31" i="4"/>
  <c r="AF32" i="4"/>
  <c r="AF33" i="4"/>
  <c r="AF34" i="4"/>
  <c r="R48" i="4"/>
  <c r="AF48" i="4"/>
  <c r="R47" i="4"/>
  <c r="AF35" i="4"/>
  <c r="AF36" i="4"/>
  <c r="AF37" i="4"/>
  <c r="AF38" i="4"/>
  <c r="AF39" i="4"/>
  <c r="AF40" i="4"/>
  <c r="AF41" i="4"/>
  <c r="AF42" i="4"/>
  <c r="AF43" i="4"/>
  <c r="AF44" i="4"/>
  <c r="AF45" i="4"/>
  <c r="AF46" i="4"/>
  <c r="S48" i="4"/>
  <c r="S49" i="4"/>
  <c r="S47" i="4"/>
  <c r="Y39" i="10"/>
  <c r="AI39" i="10"/>
  <c r="AI40" i="10"/>
  <c r="AI41" i="10"/>
  <c r="AI42" i="10"/>
  <c r="AI43" i="10"/>
  <c r="AI44" i="10"/>
  <c r="AI45" i="10"/>
  <c r="AI46" i="10"/>
  <c r="Y47" i="10"/>
  <c r="AA47" i="10" s="1"/>
  <c r="AI47" i="10"/>
  <c r="AI48" i="10"/>
  <c r="AI49" i="10"/>
  <c r="AI50" i="10"/>
  <c r="U51" i="10"/>
  <c r="U52" i="10"/>
  <c r="U53" i="10"/>
  <c r="G36" i="1"/>
  <c r="G37" i="1"/>
  <c r="G38" i="1"/>
  <c r="R43" i="9"/>
  <c r="W43" i="9"/>
  <c r="Q43" i="9"/>
  <c r="V43" i="9"/>
  <c r="P43" i="9"/>
  <c r="U43" i="9"/>
  <c r="O43" i="9"/>
  <c r="T43" i="9"/>
  <c r="R41" i="9"/>
  <c r="W41" i="9"/>
  <c r="Q41" i="9"/>
  <c r="V41" i="9"/>
  <c r="P41" i="9"/>
  <c r="U41" i="9"/>
  <c r="O41" i="9"/>
  <c r="T41" i="9"/>
  <c r="R39" i="9"/>
  <c r="W39" i="9" s="1"/>
  <c r="Q39" i="9"/>
  <c r="V39" i="9" s="1"/>
  <c r="P39" i="9"/>
  <c r="U39" i="9" s="1"/>
  <c r="O39" i="9"/>
  <c r="T39" i="9"/>
  <c r="P37" i="9"/>
  <c r="U37" i="9" s="1"/>
  <c r="Q37" i="9"/>
  <c r="R37" i="9"/>
  <c r="W37" i="9" s="1"/>
  <c r="O37" i="9"/>
  <c r="T37" i="9"/>
  <c r="X41" i="9"/>
  <c r="X43" i="9"/>
  <c r="K28" i="10"/>
  <c r="L28" i="10"/>
  <c r="M28" i="10"/>
  <c r="G19" i="10"/>
  <c r="K29" i="10"/>
  <c r="L29" i="10"/>
  <c r="M29" i="10"/>
  <c r="I29" i="10"/>
  <c r="J30" i="10"/>
  <c r="K30" i="10"/>
  <c r="L30" i="10"/>
  <c r="M30" i="10"/>
  <c r="L27" i="10"/>
  <c r="K27" i="10"/>
  <c r="M27" i="10"/>
  <c r="G18" i="8"/>
  <c r="G15" i="4" s="1"/>
  <c r="C18" i="4" s="1"/>
  <c r="C21" i="8" s="1"/>
  <c r="O38" i="9"/>
  <c r="P38" i="9"/>
  <c r="Q38" i="9"/>
  <c r="R38" i="9"/>
  <c r="O40" i="9"/>
  <c r="P40" i="9"/>
  <c r="Q40" i="9"/>
  <c r="R40" i="9"/>
  <c r="R42" i="9"/>
  <c r="U28" i="10"/>
  <c r="U29" i="10"/>
  <c r="U30" i="10"/>
  <c r="U31" i="10"/>
  <c r="U32" i="10"/>
  <c r="U33" i="10"/>
  <c r="U34" i="10"/>
  <c r="U35" i="10"/>
  <c r="U36" i="10"/>
  <c r="U37" i="10"/>
  <c r="U38" i="10"/>
  <c r="U39" i="10"/>
  <c r="U40" i="10"/>
  <c r="U41" i="10"/>
  <c r="U42" i="10"/>
  <c r="U43" i="10"/>
  <c r="U44" i="10"/>
  <c r="U45" i="10"/>
  <c r="U46" i="10"/>
  <c r="U47" i="10"/>
  <c r="U48" i="10"/>
  <c r="U49" i="10"/>
  <c r="U27" i="10"/>
  <c r="I26" i="4"/>
  <c r="I25" i="4"/>
  <c r="C30" i="10"/>
  <c r="E30" i="10"/>
  <c r="G30" i="10"/>
  <c r="C26" i="4"/>
  <c r="E26" i="4"/>
  <c r="AK45" i="4"/>
  <c r="AK33" i="4"/>
  <c r="AK44" i="4"/>
  <c r="G26" i="4"/>
  <c r="AK23" i="4"/>
  <c r="AK26" i="4"/>
  <c r="AK28" i="4"/>
  <c r="AK30" i="4"/>
  <c r="S23" i="4"/>
  <c r="R23" i="4"/>
  <c r="S24" i="4"/>
  <c r="R24" i="4"/>
  <c r="S25" i="4"/>
  <c r="R25" i="4"/>
  <c r="S26" i="4"/>
  <c r="R26" i="4"/>
  <c r="S27" i="4"/>
  <c r="R27" i="4"/>
  <c r="S28" i="4"/>
  <c r="R28" i="4"/>
  <c r="S29" i="4"/>
  <c r="R29" i="4"/>
  <c r="S30" i="4"/>
  <c r="R30" i="4"/>
  <c r="S31" i="4"/>
  <c r="R31" i="4"/>
  <c r="S32" i="4"/>
  <c r="R32" i="4"/>
  <c r="S33" i="4"/>
  <c r="R33" i="4"/>
  <c r="S34" i="4"/>
  <c r="R34" i="4"/>
  <c r="G20" i="9"/>
  <c r="G15" i="10"/>
  <c r="C22" i="10"/>
  <c r="S44" i="4"/>
  <c r="R44" i="4"/>
  <c r="AK43" i="4"/>
  <c r="S43" i="4"/>
  <c r="R43" i="4"/>
  <c r="S42" i="4"/>
  <c r="R42" i="4"/>
  <c r="S41" i="4"/>
  <c r="R41" i="4"/>
  <c r="S40" i="4"/>
  <c r="R40" i="4"/>
  <c r="AK39" i="4"/>
  <c r="S39" i="4"/>
  <c r="R39" i="4"/>
  <c r="S38" i="4"/>
  <c r="R38" i="4"/>
  <c r="S37" i="4"/>
  <c r="R37" i="4"/>
  <c r="AK36" i="4"/>
  <c r="S36" i="4"/>
  <c r="R36" i="4"/>
  <c r="AK35" i="4"/>
  <c r="S35" i="4"/>
  <c r="R35" i="4"/>
  <c r="D13" i="1"/>
  <c r="D14" i="1"/>
  <c r="D15" i="1"/>
  <c r="D16" i="1"/>
  <c r="D17" i="1"/>
  <c r="D18" i="1"/>
  <c r="D19" i="1"/>
  <c r="D20" i="1"/>
  <c r="D21" i="1"/>
  <c r="D22" i="1"/>
  <c r="D23" i="1"/>
  <c r="D24" i="1"/>
  <c r="D25" i="1"/>
  <c r="D26" i="1"/>
  <c r="D27" i="1"/>
  <c r="D28" i="1"/>
  <c r="D29" i="1"/>
  <c r="D30" i="1"/>
  <c r="D31" i="1"/>
  <c r="D32" i="1"/>
  <c r="D33" i="1"/>
  <c r="E34" i="1"/>
  <c r="S45" i="4"/>
  <c r="D12" i="1"/>
  <c r="G13" i="1"/>
  <c r="G14" i="1"/>
  <c r="G15" i="1"/>
  <c r="G16" i="1"/>
  <c r="G17" i="1"/>
  <c r="G18" i="1"/>
  <c r="G19" i="1"/>
  <c r="G20" i="1"/>
  <c r="G21" i="1"/>
  <c r="G22" i="1"/>
  <c r="G23" i="1"/>
  <c r="G24" i="1"/>
  <c r="G25" i="1"/>
  <c r="G26" i="1"/>
  <c r="G27" i="1"/>
  <c r="G28" i="1"/>
  <c r="G29" i="1"/>
  <c r="G30" i="1"/>
  <c r="G31" i="1"/>
  <c r="G32" i="1"/>
  <c r="G33" i="1"/>
  <c r="G34" i="1"/>
  <c r="G12" i="1"/>
  <c r="C29" i="9"/>
  <c r="O35" i="9"/>
  <c r="Q42" i="9"/>
  <c r="P42" i="9"/>
  <c r="O42" i="9"/>
  <c r="AN45" i="10"/>
  <c r="AN47" i="10"/>
  <c r="AP47" i="10" s="1"/>
  <c r="AN28" i="10"/>
  <c r="AN36" i="10"/>
  <c r="AP36" i="10" s="1"/>
  <c r="AN27" i="10"/>
  <c r="AN48" i="10"/>
  <c r="AN39" i="10"/>
  <c r="AN42" i="10"/>
  <c r="AN50" i="10"/>
  <c r="AN49" i="10"/>
  <c r="U50" i="10"/>
  <c r="G35" i="1"/>
  <c r="R45" i="4"/>
  <c r="R46" i="4"/>
  <c r="E35" i="1"/>
  <c r="S46" i="4"/>
  <c r="D34" i="1"/>
  <c r="AN43" i="10"/>
  <c r="AN34" i="10"/>
  <c r="AN31" i="10"/>
  <c r="AN30" i="10"/>
  <c r="AN38" i="10"/>
  <c r="AN44" i="10"/>
  <c r="AN41" i="10"/>
  <c r="AN29" i="10"/>
  <c r="AP29" i="10" s="1"/>
  <c r="AN37" i="10"/>
  <c r="AN33" i="10"/>
  <c r="AN46" i="10"/>
  <c r="AN40" i="10"/>
  <c r="AN35" i="10"/>
  <c r="AN32" i="10"/>
  <c r="AK41" i="4"/>
  <c r="AK29" i="4"/>
  <c r="AK38" i="4"/>
  <c r="AK25" i="4"/>
  <c r="AK32" i="4"/>
  <c r="AK46" i="4"/>
  <c r="AK40" i="4"/>
  <c r="AK24" i="4"/>
  <c r="AK34" i="4"/>
  <c r="AK37" i="4"/>
  <c r="AK31" i="4"/>
  <c r="AK42" i="4"/>
  <c r="AK27" i="4"/>
  <c r="D35" i="1"/>
  <c r="T36" i="4"/>
  <c r="W39" i="10"/>
  <c r="W41" i="10"/>
  <c r="AP41" i="10"/>
  <c r="W50" i="10"/>
  <c r="W48" i="10"/>
  <c r="AP48" i="10"/>
  <c r="W40" i="10"/>
  <c r="W44" i="10"/>
  <c r="AK44" i="10"/>
  <c r="AL44" i="10" s="1"/>
  <c r="W49" i="10"/>
  <c r="W46" i="10"/>
  <c r="W42" i="10"/>
  <c r="W43" i="10"/>
  <c r="AP43" i="10"/>
  <c r="W47" i="10"/>
  <c r="W45" i="10"/>
  <c r="AP49" i="10"/>
  <c r="AK40" i="10"/>
  <c r="AK41" i="10"/>
  <c r="AL41" i="10" s="1"/>
  <c r="AP40" i="10"/>
  <c r="AK50" i="10"/>
  <c r="AL50" i="10" s="1"/>
  <c r="AP39" i="10"/>
  <c r="AA39" i="10"/>
  <c r="AK39" i="10"/>
  <c r="AL39" i="10"/>
  <c r="AK48" i="10"/>
  <c r="AL48" i="10" s="1"/>
  <c r="AP44" i="10"/>
  <c r="AK49" i="10"/>
  <c r="AL49" i="10"/>
  <c r="AP42" i="10"/>
  <c r="AK45" i="10"/>
  <c r="AL45" i="10"/>
  <c r="AK42" i="10"/>
  <c r="AL42" i="10"/>
  <c r="AK43" i="10"/>
  <c r="AK46" i="10"/>
  <c r="AL46" i="10"/>
  <c r="AP45" i="10"/>
  <c r="AK47" i="10"/>
  <c r="AL47" i="10" s="1"/>
  <c r="AP32" i="10"/>
  <c r="AQ32" i="10" s="1"/>
  <c r="AP35" i="10"/>
  <c r="AP33" i="10"/>
  <c r="AP37" i="10"/>
  <c r="AP30" i="10"/>
  <c r="AP31" i="10"/>
  <c r="AP34" i="10"/>
  <c r="AP27" i="10"/>
  <c r="AP28" i="10"/>
  <c r="AK47" i="4"/>
  <c r="AK48" i="4"/>
  <c r="AK49" i="4"/>
  <c r="AN51" i="10"/>
  <c r="AP51" i="10" s="1"/>
  <c r="AN52" i="10"/>
  <c r="AP52" i="10" s="1"/>
  <c r="AQ52" i="10" s="1"/>
  <c r="AN53" i="10"/>
  <c r="I30" i="10"/>
  <c r="I28" i="10"/>
  <c r="I27" i="10"/>
  <c r="AB31" i="10"/>
  <c r="AB39" i="10"/>
  <c r="AB47" i="10"/>
  <c r="AQ41" i="10"/>
  <c r="AQ48" i="10"/>
  <c r="AQ43" i="10"/>
  <c r="AQ47" i="10"/>
  <c r="AQ40" i="10"/>
  <c r="AQ39" i="10"/>
  <c r="AQ44" i="10"/>
  <c r="AQ45" i="10"/>
  <c r="AQ28" i="10"/>
  <c r="AQ27" i="10"/>
  <c r="AQ31" i="10"/>
  <c r="AQ30" i="10"/>
  <c r="AQ29" i="10"/>
  <c r="AQ37" i="10"/>
  <c r="AQ35" i="10"/>
  <c r="AQ51" i="10"/>
  <c r="AL37" i="10" l="1"/>
  <c r="AQ34" i="10"/>
  <c r="AQ42" i="10"/>
  <c r="AH36" i="4"/>
  <c r="AI36" i="4" s="1"/>
  <c r="AM36" i="4"/>
  <c r="AP50" i="10"/>
  <c r="X39" i="9"/>
  <c r="AQ36" i="10"/>
  <c r="AP53" i="10"/>
  <c r="AP38" i="10"/>
  <c r="AQ33" i="10"/>
  <c r="AM29" i="4"/>
  <c r="AH29" i="4"/>
  <c r="AI29" i="4" s="1"/>
  <c r="AM31" i="4"/>
  <c r="AH30" i="4"/>
  <c r="AI30" i="4" s="1"/>
  <c r="V30" i="4"/>
  <c r="X30" i="4" s="1"/>
  <c r="Y30" i="4" s="1"/>
  <c r="AL43" i="10"/>
  <c r="AQ49" i="10"/>
  <c r="T41" i="4"/>
  <c r="V37" i="9"/>
  <c r="X37" i="9" s="1"/>
  <c r="X35" i="9" s="1"/>
  <c r="C47" i="9" s="1"/>
  <c r="C34" i="10" s="1"/>
  <c r="Q35" i="9"/>
  <c r="AH34" i="4"/>
  <c r="AI34" i="4" s="1"/>
  <c r="T23" i="4"/>
  <c r="AM23" i="4" s="1"/>
  <c r="T26" i="4"/>
  <c r="AM26" i="4" s="1"/>
  <c r="T34" i="4"/>
  <c r="AM34" i="4" s="1"/>
  <c r="T44" i="4"/>
  <c r="AH44" i="4" s="1"/>
  <c r="AI44" i="4" s="1"/>
  <c r="T39" i="4"/>
  <c r="T31" i="4"/>
  <c r="AH31" i="4" s="1"/>
  <c r="AI31" i="4" s="1"/>
  <c r="T37" i="4"/>
  <c r="T43" i="4"/>
  <c r="T28" i="4"/>
  <c r="T25" i="4"/>
  <c r="AH25" i="4" s="1"/>
  <c r="AI25" i="4" s="1"/>
  <c r="T33" i="4"/>
  <c r="T47" i="4"/>
  <c r="T42" i="4"/>
  <c r="AM42" i="4" s="1"/>
  <c r="T38" i="4"/>
  <c r="T30" i="4"/>
  <c r="AM30" i="4" s="1"/>
  <c r="T27" i="4"/>
  <c r="AH27" i="4" s="1"/>
  <c r="AI27" i="4" s="1"/>
  <c r="T48" i="4"/>
  <c r="AM48" i="4" s="1"/>
  <c r="T46" i="4"/>
  <c r="T49" i="4"/>
  <c r="AM49" i="4" s="1"/>
  <c r="T24" i="4"/>
  <c r="AM24" i="4" s="1"/>
  <c r="T32" i="4"/>
  <c r="AM32" i="4" s="1"/>
  <c r="T45" i="4"/>
  <c r="T35" i="4"/>
  <c r="T40" i="4"/>
  <c r="AH40" i="4" s="1"/>
  <c r="AI40" i="4" s="1"/>
  <c r="AP46" i="10"/>
  <c r="AM27" i="4"/>
  <c r="AH42" i="4"/>
  <c r="AI42" i="4" s="1"/>
  <c r="AH32" i="4"/>
  <c r="AI32" i="4" s="1"/>
  <c r="AH26" i="4"/>
  <c r="AI26" i="4" s="1"/>
  <c r="Y30" i="10"/>
  <c r="AA30" i="10" s="1"/>
  <c r="AB30" i="10" s="1"/>
  <c r="AL40" i="10"/>
  <c r="AM40" i="4"/>
  <c r="P35" i="9"/>
  <c r="Y53" i="10"/>
  <c r="AA53" i="10" s="1"/>
  <c r="AB53" i="10" s="1"/>
  <c r="AE50" i="10"/>
  <c r="AE42" i="10"/>
  <c r="AE34" i="10"/>
  <c r="Z53" i="10"/>
  <c r="Z45" i="10"/>
  <c r="Y45" i="10" s="1"/>
  <c r="AA45" i="10" s="1"/>
  <c r="AB45" i="10" s="1"/>
  <c r="Z37" i="10"/>
  <c r="Y37" i="10" s="1"/>
  <c r="AA37" i="10" s="1"/>
  <c r="AB37" i="10" s="1"/>
  <c r="Z29" i="10"/>
  <c r="W23" i="4"/>
  <c r="V23" i="4" s="1"/>
  <c r="X23" i="4" s="1"/>
  <c r="Y23" i="4" s="1"/>
  <c r="W42" i="4"/>
  <c r="W34" i="4"/>
  <c r="W26" i="4"/>
  <c r="AB45" i="4"/>
  <c r="AB37" i="4"/>
  <c r="AA37" i="4" s="1"/>
  <c r="AB29" i="4"/>
  <c r="AA47" i="4"/>
  <c r="AA39" i="4"/>
  <c r="AC39" i="4" s="1"/>
  <c r="AD39" i="4" s="1"/>
  <c r="AA31" i="4"/>
  <c r="R35" i="9"/>
  <c r="Y29" i="10"/>
  <c r="AA29" i="10" s="1"/>
  <c r="AB29" i="10" s="1"/>
  <c r="AE49" i="10"/>
  <c r="AE41" i="10"/>
  <c r="AE33" i="10"/>
  <c r="AD33" i="10" s="1"/>
  <c r="Z52" i="10"/>
  <c r="Y52" i="10" s="1"/>
  <c r="AA52" i="10" s="1"/>
  <c r="AB52" i="10" s="1"/>
  <c r="Z44" i="10"/>
  <c r="Y44" i="10" s="1"/>
  <c r="AA44" i="10" s="1"/>
  <c r="AB44" i="10" s="1"/>
  <c r="Z36" i="10"/>
  <c r="Y36" i="10" s="1"/>
  <c r="AA36" i="10" s="1"/>
  <c r="AB36" i="10" s="1"/>
  <c r="Z28" i="10"/>
  <c r="Y28" i="10" s="1"/>
  <c r="AA28" i="10" s="1"/>
  <c r="AB28" i="10" s="1"/>
  <c r="W49" i="4"/>
  <c r="W41" i="4"/>
  <c r="W33" i="4"/>
  <c r="W25" i="4"/>
  <c r="V25" i="4" s="1"/>
  <c r="X25" i="4" s="1"/>
  <c r="Y25" i="4" s="1"/>
  <c r="AB44" i="4"/>
  <c r="AB36" i="4"/>
  <c r="AB28" i="4"/>
  <c r="V44" i="4"/>
  <c r="V36" i="4"/>
  <c r="X36" i="4" s="1"/>
  <c r="Y36" i="4" s="1"/>
  <c r="V28" i="4"/>
  <c r="X28" i="4" s="1"/>
  <c r="Y28" i="4" s="1"/>
  <c r="AA38" i="4"/>
  <c r="AC38" i="4" s="1"/>
  <c r="AD38" i="4" s="1"/>
  <c r="AE48" i="10"/>
  <c r="AE40" i="10"/>
  <c r="AE32" i="10"/>
  <c r="Z51" i="10"/>
  <c r="Z43" i="10"/>
  <c r="Y43" i="10" s="1"/>
  <c r="AA43" i="10" s="1"/>
  <c r="AB43" i="10" s="1"/>
  <c r="Z35" i="10"/>
  <c r="Y35" i="10" s="1"/>
  <c r="AA35" i="10" s="1"/>
  <c r="AB35" i="10" s="1"/>
  <c r="W48" i="4"/>
  <c r="W40" i="4"/>
  <c r="W32" i="4"/>
  <c r="W24" i="4"/>
  <c r="AB43" i="4"/>
  <c r="AA43" i="4" s="1"/>
  <c r="AB35" i="4"/>
  <c r="AB27" i="4"/>
  <c r="AA45" i="4"/>
  <c r="AA29" i="4"/>
  <c r="AE47" i="10"/>
  <c r="AD47" i="10" s="1"/>
  <c r="AE39" i="10"/>
  <c r="AD39" i="10" s="1"/>
  <c r="AE31" i="10"/>
  <c r="AD31" i="10" s="1"/>
  <c r="Z50" i="10"/>
  <c r="Y50" i="10" s="1"/>
  <c r="AA50" i="10" s="1"/>
  <c r="AB50" i="10" s="1"/>
  <c r="Z42" i="10"/>
  <c r="Y42" i="10" s="1"/>
  <c r="AA42" i="10" s="1"/>
  <c r="AB42" i="10" s="1"/>
  <c r="Z34" i="10"/>
  <c r="Y34" i="10" s="1"/>
  <c r="AA34" i="10" s="1"/>
  <c r="AB34" i="10" s="1"/>
  <c r="W47" i="4"/>
  <c r="W39" i="4"/>
  <c r="W31" i="4"/>
  <c r="AB23" i="4"/>
  <c r="AA23" i="4" s="1"/>
  <c r="AB42" i="4"/>
  <c r="AA42" i="4" s="1"/>
  <c r="AB34" i="4"/>
  <c r="AB26" i="4"/>
  <c r="V42" i="4"/>
  <c r="X42" i="4" s="1"/>
  <c r="Y42" i="4" s="1"/>
  <c r="V34" i="4"/>
  <c r="X34" i="4" s="1"/>
  <c r="Y34" i="4" s="1"/>
  <c r="V26" i="4"/>
  <c r="X26" i="4" s="1"/>
  <c r="Y26" i="4" s="1"/>
  <c r="AA44" i="4"/>
  <c r="AA36" i="4"/>
  <c r="AA28" i="4"/>
  <c r="AD35" i="10"/>
  <c r="AE27" i="10"/>
  <c r="AD27" i="10" s="1"/>
  <c r="AE46" i="10"/>
  <c r="AD46" i="10" s="1"/>
  <c r="AE38" i="10"/>
  <c r="AD38" i="10" s="1"/>
  <c r="AE30" i="10"/>
  <c r="AD30" i="10" s="1"/>
  <c r="Z49" i="10"/>
  <c r="Y49" i="10" s="1"/>
  <c r="AA49" i="10" s="1"/>
  <c r="AB49" i="10" s="1"/>
  <c r="Z41" i="10"/>
  <c r="Y41" i="10" s="1"/>
  <c r="AA41" i="10" s="1"/>
  <c r="AB41" i="10" s="1"/>
  <c r="Z33" i="10"/>
  <c r="Y33" i="10" s="1"/>
  <c r="AA33" i="10" s="1"/>
  <c r="AB33" i="10" s="1"/>
  <c r="W46" i="4"/>
  <c r="V46" i="4" s="1"/>
  <c r="X46" i="4" s="1"/>
  <c r="Y46" i="4" s="1"/>
  <c r="W38" i="4"/>
  <c r="W30" i="4"/>
  <c r="AB49" i="4"/>
  <c r="AB41" i="4"/>
  <c r="AB33" i="4"/>
  <c r="AA33" i="4" s="1"/>
  <c r="AB25" i="4"/>
  <c r="V49" i="4"/>
  <c r="X49" i="4" s="1"/>
  <c r="Y49" i="4" s="1"/>
  <c r="V41" i="4"/>
  <c r="X41" i="4" s="1"/>
  <c r="Y41" i="4" s="1"/>
  <c r="V33" i="4"/>
  <c r="X33" i="4" s="1"/>
  <c r="Y33" i="4" s="1"/>
  <c r="AA35" i="4"/>
  <c r="AC35" i="4" s="1"/>
  <c r="AD35" i="4" s="1"/>
  <c r="AA27" i="4"/>
  <c r="Y51" i="10"/>
  <c r="AA51" i="10" s="1"/>
  <c r="AB51" i="10" s="1"/>
  <c r="AD50" i="10"/>
  <c r="AF50" i="10" s="1"/>
  <c r="AG50" i="10" s="1"/>
  <c r="AD42" i="10"/>
  <c r="AF42" i="10" s="1"/>
  <c r="AG42" i="10" s="1"/>
  <c r="AD34" i="10"/>
  <c r="AE53" i="10"/>
  <c r="AD53" i="10" s="1"/>
  <c r="AE45" i="10"/>
  <c r="AD45" i="10" s="1"/>
  <c r="AE37" i="10"/>
  <c r="AD37" i="10" s="1"/>
  <c r="AE29" i="10"/>
  <c r="AD29" i="10" s="1"/>
  <c r="Z48" i="10"/>
  <c r="Y48" i="10" s="1"/>
  <c r="AA48" i="10" s="1"/>
  <c r="AB48" i="10" s="1"/>
  <c r="Z40" i="10"/>
  <c r="Y40" i="10" s="1"/>
  <c r="AA40" i="10" s="1"/>
  <c r="AB40" i="10" s="1"/>
  <c r="Z32" i="10"/>
  <c r="Y32" i="10" s="1"/>
  <c r="AA32" i="10" s="1"/>
  <c r="AB32" i="10" s="1"/>
  <c r="W45" i="4"/>
  <c r="V45" i="4" s="1"/>
  <c r="X45" i="4" s="1"/>
  <c r="Y45" i="4" s="1"/>
  <c r="W37" i="4"/>
  <c r="V37" i="4" s="1"/>
  <c r="X37" i="4" s="1"/>
  <c r="Y37" i="4" s="1"/>
  <c r="W29" i="4"/>
  <c r="V29" i="4" s="1"/>
  <c r="X29" i="4" s="1"/>
  <c r="Y29" i="4" s="1"/>
  <c r="AB48" i="4"/>
  <c r="AB40" i="4"/>
  <c r="AA40" i="4" s="1"/>
  <c r="AB32" i="4"/>
  <c r="AB24" i="4"/>
  <c r="AA24" i="4" s="1"/>
  <c r="V48" i="4"/>
  <c r="X48" i="4" s="1"/>
  <c r="Y48" i="4" s="1"/>
  <c r="V40" i="4"/>
  <c r="X40" i="4" s="1"/>
  <c r="Y40" i="4" s="1"/>
  <c r="V32" i="4"/>
  <c r="X32" i="4" s="1"/>
  <c r="Y32" i="4" s="1"/>
  <c r="V24" i="4"/>
  <c r="AA34" i="4"/>
  <c r="AA26" i="4"/>
  <c r="AD49" i="10"/>
  <c r="AF49" i="10" s="1"/>
  <c r="AG49" i="10" s="1"/>
  <c r="AD41" i="10"/>
  <c r="AE52" i="10"/>
  <c r="AD52" i="10" s="1"/>
  <c r="AE44" i="10"/>
  <c r="AD44" i="10" s="1"/>
  <c r="AE36" i="10"/>
  <c r="AD36" i="10" s="1"/>
  <c r="AE28" i="10"/>
  <c r="AD28" i="10" s="1"/>
  <c r="V47" i="4"/>
  <c r="X47" i="4" s="1"/>
  <c r="Y47" i="4" s="1"/>
  <c r="V39" i="4"/>
  <c r="X39" i="4" s="1"/>
  <c r="Y39" i="4" s="1"/>
  <c r="V31" i="4"/>
  <c r="X31" i="4" s="1"/>
  <c r="Y31" i="4" s="1"/>
  <c r="AA49" i="4"/>
  <c r="AA41" i="4"/>
  <c r="AC41" i="4" s="1"/>
  <c r="AD41" i="4" s="1"/>
  <c r="AA25" i="4"/>
  <c r="AC25" i="4" s="1"/>
  <c r="AD25" i="4" s="1"/>
  <c r="AD48" i="10"/>
  <c r="AF48" i="10" s="1"/>
  <c r="AD40" i="10"/>
  <c r="AF40" i="10" s="1"/>
  <c r="AG40" i="10" s="1"/>
  <c r="AD32" i="10"/>
  <c r="AE51" i="10"/>
  <c r="AD51" i="10" s="1"/>
  <c r="AE43" i="10"/>
  <c r="AD43" i="10" s="1"/>
  <c r="Z27" i="10"/>
  <c r="Y27" i="10" s="1"/>
  <c r="AA27" i="10" s="1"/>
  <c r="AB27" i="10" s="1"/>
  <c r="Z46" i="10"/>
  <c r="Y46" i="10" s="1"/>
  <c r="AA46" i="10" s="1"/>
  <c r="AB46" i="10" s="1"/>
  <c r="Z38" i="10"/>
  <c r="Y38" i="10" s="1"/>
  <c r="AA38" i="10" s="1"/>
  <c r="AB38" i="10" s="1"/>
  <c r="W43" i="4"/>
  <c r="V43" i="4" s="1"/>
  <c r="X43" i="4" s="1"/>
  <c r="Y43" i="4" s="1"/>
  <c r="W35" i="4"/>
  <c r="V35" i="4" s="1"/>
  <c r="X35" i="4" s="1"/>
  <c r="Y35" i="4" s="1"/>
  <c r="W27" i="4"/>
  <c r="V27" i="4" s="1"/>
  <c r="X27" i="4" s="1"/>
  <c r="Y27" i="4" s="1"/>
  <c r="AB46" i="4"/>
  <c r="AA46" i="4" s="1"/>
  <c r="AB38" i="4"/>
  <c r="AB30" i="4"/>
  <c r="AA30" i="4" s="1"/>
  <c r="V38" i="4"/>
  <c r="X38" i="4" s="1"/>
  <c r="Y38" i="4" s="1"/>
  <c r="AA48" i="4"/>
  <c r="AA32" i="4"/>
  <c r="AS44" i="10" l="1"/>
  <c r="AF44" i="10"/>
  <c r="AC42" i="4"/>
  <c r="AD42" i="4" s="1"/>
  <c r="AP42" i="4"/>
  <c r="AF31" i="10"/>
  <c r="AS31" i="10"/>
  <c r="AC43" i="4"/>
  <c r="AD43" i="4" s="1"/>
  <c r="AP43" i="4"/>
  <c r="AF52" i="10"/>
  <c r="AS52" i="10"/>
  <c r="AS39" i="10"/>
  <c r="AF39" i="10"/>
  <c r="AF33" i="10"/>
  <c r="AS33" i="10"/>
  <c r="AC24" i="4"/>
  <c r="AD24" i="4" s="1"/>
  <c r="AP24" i="4"/>
  <c r="AC33" i="4"/>
  <c r="AD33" i="4" s="1"/>
  <c r="AP33" i="4"/>
  <c r="AF47" i="10"/>
  <c r="AS47" i="10"/>
  <c r="AC37" i="4"/>
  <c r="AD37" i="4" s="1"/>
  <c r="AP37" i="4"/>
  <c r="AF30" i="10"/>
  <c r="AS30" i="10"/>
  <c r="AS43" i="10"/>
  <c r="AF43" i="10"/>
  <c r="AC46" i="4"/>
  <c r="AD46" i="4" s="1"/>
  <c r="AP46" i="4"/>
  <c r="AF51" i="10"/>
  <c r="AS51" i="10"/>
  <c r="AC40" i="4"/>
  <c r="AD40" i="4" s="1"/>
  <c r="AP40" i="4"/>
  <c r="AF29" i="10"/>
  <c r="AS29" i="10"/>
  <c r="AF38" i="10"/>
  <c r="AG38" i="10" s="1"/>
  <c r="AS38" i="10"/>
  <c r="AF53" i="10"/>
  <c r="AG53" i="10" s="1"/>
  <c r="AS53" i="10"/>
  <c r="AF37" i="10"/>
  <c r="AS37" i="10"/>
  <c r="AF46" i="10"/>
  <c r="AG46" i="10" s="1"/>
  <c r="AS46" i="10"/>
  <c r="AN24" i="4"/>
  <c r="AF36" i="10"/>
  <c r="AS36" i="10"/>
  <c r="AC30" i="4"/>
  <c r="AD30" i="4" s="1"/>
  <c r="AP30" i="4"/>
  <c r="AF28" i="10"/>
  <c r="AS28" i="10"/>
  <c r="AS45" i="10"/>
  <c r="AF45" i="10"/>
  <c r="AT48" i="10"/>
  <c r="AG48" i="10"/>
  <c r="AU48" i="10" s="1"/>
  <c r="AC28" i="4"/>
  <c r="AD28" i="4" s="1"/>
  <c r="AP28" i="4"/>
  <c r="AP36" i="4"/>
  <c r="AC36" i="4"/>
  <c r="AD36" i="4" s="1"/>
  <c r="AC23" i="4"/>
  <c r="AD23" i="4" s="1"/>
  <c r="AP23" i="4"/>
  <c r="AC31" i="4"/>
  <c r="AD31" i="4" s="1"/>
  <c r="AP31" i="4"/>
  <c r="AP39" i="4"/>
  <c r="AN27" i="4"/>
  <c r="AN49" i="4"/>
  <c r="AH33" i="4"/>
  <c r="AI33" i="4" s="1"/>
  <c r="AM33" i="4"/>
  <c r="AN34" i="4"/>
  <c r="AR34" i="4" s="1"/>
  <c r="AQ34" i="4"/>
  <c r="AC34" i="4"/>
  <c r="AD34" i="4" s="1"/>
  <c r="AP34" i="4"/>
  <c r="AC27" i="4"/>
  <c r="AD27" i="4" s="1"/>
  <c r="AP27" i="4"/>
  <c r="AH47" i="4"/>
  <c r="AI47" i="4" s="1"/>
  <c r="AM47" i="4"/>
  <c r="X24" i="4"/>
  <c r="Y24" i="4" s="1"/>
  <c r="AC44" i="4"/>
  <c r="AD44" i="4" s="1"/>
  <c r="AP45" i="4"/>
  <c r="AC45" i="4"/>
  <c r="AD45" i="4" s="1"/>
  <c r="AT46" i="10"/>
  <c r="AQ46" i="10"/>
  <c r="AU46" i="10" s="1"/>
  <c r="AH46" i="4"/>
  <c r="AI46" i="4" s="1"/>
  <c r="AM46" i="4"/>
  <c r="AN26" i="4"/>
  <c r="AR26" i="4" s="1"/>
  <c r="AH24" i="4"/>
  <c r="AI24" i="4" s="1"/>
  <c r="AS40" i="10"/>
  <c r="AS48" i="10"/>
  <c r="AQ50" i="10"/>
  <c r="AU50" i="10" s="1"/>
  <c r="AT50" i="10"/>
  <c r="AC47" i="4"/>
  <c r="AD47" i="4" s="1"/>
  <c r="AP47" i="4"/>
  <c r="O34" i="9"/>
  <c r="AP25" i="4"/>
  <c r="AN48" i="4"/>
  <c r="AH28" i="4"/>
  <c r="AI28" i="4" s="1"/>
  <c r="AM28" i="4"/>
  <c r="AN23" i="4"/>
  <c r="AQ23" i="4"/>
  <c r="AM44" i="4"/>
  <c r="AN31" i="4"/>
  <c r="AR31" i="4" s="1"/>
  <c r="AQ31" i="4"/>
  <c r="AQ53" i="10"/>
  <c r="AU53" i="10" s="1"/>
  <c r="AT53" i="10"/>
  <c r="AS50" i="10"/>
  <c r="AP48" i="4"/>
  <c r="AC48" i="4"/>
  <c r="AD48" i="4" s="1"/>
  <c r="AC29" i="4"/>
  <c r="AD29" i="4" s="1"/>
  <c r="AP29" i="4"/>
  <c r="AU49" i="10"/>
  <c r="AC49" i="4"/>
  <c r="AD49" i="4" s="1"/>
  <c r="AP49" i="4"/>
  <c r="AF34" i="10"/>
  <c r="AS34" i="10"/>
  <c r="AF27" i="10"/>
  <c r="AS27" i="10"/>
  <c r="X44" i="4"/>
  <c r="Y44" i="4" s="1"/>
  <c r="AQ40" i="4"/>
  <c r="AN40" i="4"/>
  <c r="AR40" i="4" s="1"/>
  <c r="AM43" i="4"/>
  <c r="AH43" i="4"/>
  <c r="AI43" i="4" s="1"/>
  <c r="AP35" i="4"/>
  <c r="AP44" i="4"/>
  <c r="AM25" i="4"/>
  <c r="AT40" i="10"/>
  <c r="AQ38" i="10"/>
  <c r="AU38" i="10" s="1"/>
  <c r="AT38" i="10"/>
  <c r="AN36" i="4"/>
  <c r="AR36" i="4" s="1"/>
  <c r="AQ36" i="4"/>
  <c r="AH48" i="4"/>
  <c r="AI48" i="4" s="1"/>
  <c r="AF35" i="10"/>
  <c r="AS35" i="10"/>
  <c r="AU40" i="10"/>
  <c r="AH35" i="4"/>
  <c r="AI35" i="4" s="1"/>
  <c r="AM35" i="4"/>
  <c r="AN30" i="4"/>
  <c r="AR30" i="4" s="1"/>
  <c r="AQ30" i="4"/>
  <c r="AH37" i="4"/>
  <c r="AI37" i="4" s="1"/>
  <c r="AM37" i="4"/>
  <c r="AH23" i="4"/>
  <c r="AI23" i="4" s="1"/>
  <c r="AP38" i="4"/>
  <c r="AT49" i="10"/>
  <c r="AF41" i="10"/>
  <c r="AS41" i="10"/>
  <c r="AF32" i="10"/>
  <c r="AS32" i="10"/>
  <c r="AS42" i="10"/>
  <c r="AM45" i="4"/>
  <c r="AH45" i="4"/>
  <c r="AI45" i="4" s="1"/>
  <c r="AM38" i="4"/>
  <c r="AH38" i="4"/>
  <c r="AI38" i="4" s="1"/>
  <c r="AS49" i="10"/>
  <c r="AM41" i="4"/>
  <c r="AH41" i="4"/>
  <c r="AI41" i="4" s="1"/>
  <c r="AN29" i="4"/>
  <c r="AR29" i="4" s="1"/>
  <c r="AQ29" i="4"/>
  <c r="AU42" i="10"/>
  <c r="AC32" i="4"/>
  <c r="AD32" i="4" s="1"/>
  <c r="AP32" i="4"/>
  <c r="AC26" i="4"/>
  <c r="AD26" i="4" s="1"/>
  <c r="AP26" i="4"/>
  <c r="AH49" i="4"/>
  <c r="AI49" i="4" s="1"/>
  <c r="AP41" i="4"/>
  <c r="AN32" i="4"/>
  <c r="AQ42" i="4"/>
  <c r="AN42" i="4"/>
  <c r="AR42" i="4" s="1"/>
  <c r="AH39" i="4"/>
  <c r="AI39" i="4" s="1"/>
  <c r="AM39" i="4"/>
  <c r="AT42" i="10"/>
  <c r="AT32" i="10" l="1"/>
  <c r="AG32" i="10"/>
  <c r="AU32" i="10" s="1"/>
  <c r="AV34" i="10"/>
  <c r="AW34" i="10"/>
  <c r="AT47" i="4"/>
  <c r="AS47" i="4"/>
  <c r="AT39" i="4"/>
  <c r="AS39" i="4"/>
  <c r="AW30" i="10"/>
  <c r="AV30" i="10"/>
  <c r="AW49" i="10"/>
  <c r="AV49" i="10"/>
  <c r="AW41" i="10"/>
  <c r="AV41" i="10"/>
  <c r="AG34" i="10"/>
  <c r="AU34" i="10" s="1"/>
  <c r="AT34" i="10"/>
  <c r="AR23" i="4"/>
  <c r="AQ46" i="4"/>
  <c r="AN46" i="4"/>
  <c r="AR46" i="4" s="1"/>
  <c r="AN47" i="4"/>
  <c r="AR47" i="4" s="1"/>
  <c r="AQ47" i="4"/>
  <c r="AT31" i="4"/>
  <c r="AS31" i="4"/>
  <c r="AG37" i="10"/>
  <c r="AU37" i="10" s="1"/>
  <c r="AT37" i="10"/>
  <c r="AG30" i="10"/>
  <c r="AU30" i="10" s="1"/>
  <c r="AT30" i="10"/>
  <c r="AT32" i="4"/>
  <c r="AS32" i="4"/>
  <c r="AG41" i="10"/>
  <c r="AU41" i="10" s="1"/>
  <c r="AT41" i="10"/>
  <c r="AN35" i="4"/>
  <c r="AR35" i="4" s="1"/>
  <c r="AQ35" i="4"/>
  <c r="AN43" i="4"/>
  <c r="AR43" i="4" s="1"/>
  <c r="AQ43" i="4"/>
  <c r="AT49" i="4"/>
  <c r="AS49" i="4"/>
  <c r="AW50" i="10"/>
  <c r="AV50" i="10"/>
  <c r="AQ28" i="4"/>
  <c r="AN28" i="4"/>
  <c r="AR28" i="4" s="1"/>
  <c r="AQ33" i="4"/>
  <c r="AN33" i="4"/>
  <c r="AR33" i="4" s="1"/>
  <c r="AW36" i="10"/>
  <c r="AV36" i="10"/>
  <c r="AW53" i="10"/>
  <c r="AV53" i="10"/>
  <c r="AW51" i="10"/>
  <c r="AV51" i="10"/>
  <c r="AT37" i="4"/>
  <c r="AS37" i="4"/>
  <c r="AV33" i="10"/>
  <c r="AW33" i="10"/>
  <c r="AW31" i="10"/>
  <c r="AV31" i="10"/>
  <c r="AN41" i="4"/>
  <c r="AR41" i="4" s="1"/>
  <c r="AQ41" i="4"/>
  <c r="AT40" i="4"/>
  <c r="AS40" i="4"/>
  <c r="AQ38" i="4"/>
  <c r="AN38" i="4"/>
  <c r="AR38" i="4" s="1"/>
  <c r="T59" i="10"/>
  <c r="T67" i="10"/>
  <c r="AT27" i="4"/>
  <c r="AS27" i="4"/>
  <c r="AT23" i="4"/>
  <c r="AS23" i="4"/>
  <c r="AG36" i="10"/>
  <c r="AU36" i="10" s="1"/>
  <c r="AT36" i="10"/>
  <c r="AG51" i="10"/>
  <c r="AU51" i="10" s="1"/>
  <c r="AT51" i="10"/>
  <c r="AG33" i="10"/>
  <c r="AU33" i="10" s="1"/>
  <c r="AT33" i="10"/>
  <c r="AT31" i="10"/>
  <c r="AG31" i="10"/>
  <c r="AU31" i="10" s="1"/>
  <c r="AT24" i="4"/>
  <c r="AS24" i="4"/>
  <c r="AR32" i="4"/>
  <c r="AT38" i="4"/>
  <c r="AS38" i="4"/>
  <c r="AR48" i="4"/>
  <c r="AW48" i="10"/>
  <c r="AV48" i="10"/>
  <c r="AQ49" i="4"/>
  <c r="AT45" i="10"/>
  <c r="AG45" i="10"/>
  <c r="AU45" i="10" s="1"/>
  <c r="AR24" i="4"/>
  <c r="AW38" i="10"/>
  <c r="AV38" i="10"/>
  <c r="AT46" i="4"/>
  <c r="AS46" i="4"/>
  <c r="AW47" i="10"/>
  <c r="AV47" i="10"/>
  <c r="AG39" i="10"/>
  <c r="AU39" i="10" s="1"/>
  <c r="AT39" i="10"/>
  <c r="AS42" i="4"/>
  <c r="AT42" i="4"/>
  <c r="AN39" i="4"/>
  <c r="AR39" i="4" s="1"/>
  <c r="AQ39" i="4"/>
  <c r="AT48" i="4"/>
  <c r="AS48" i="4"/>
  <c r="AT30" i="4"/>
  <c r="AS30" i="4"/>
  <c r="AT29" i="4"/>
  <c r="AS29" i="4"/>
  <c r="AQ48" i="4"/>
  <c r="AW40" i="10"/>
  <c r="AV40" i="10"/>
  <c r="AT34" i="4"/>
  <c r="AS34" i="4"/>
  <c r="AR49" i="4"/>
  <c r="AW45" i="10"/>
  <c r="AV45" i="10"/>
  <c r="AQ24" i="4"/>
  <c r="Q58" i="4" s="1"/>
  <c r="I43" i="12" s="1"/>
  <c r="AG47" i="10"/>
  <c r="AU47" i="10" s="1"/>
  <c r="AT47" i="10"/>
  <c r="AW39" i="10"/>
  <c r="AV39" i="10"/>
  <c r="AS35" i="4"/>
  <c r="AT35" i="4"/>
  <c r="AW37" i="10"/>
  <c r="AV37" i="10"/>
  <c r="AQ32" i="4"/>
  <c r="AN45" i="4"/>
  <c r="AR45" i="4" s="1"/>
  <c r="AQ45" i="4"/>
  <c r="AV35" i="10"/>
  <c r="AW35" i="10"/>
  <c r="AS41" i="4"/>
  <c r="AT41" i="4"/>
  <c r="AW42" i="10"/>
  <c r="AV42" i="10"/>
  <c r="AN37" i="4"/>
  <c r="AR37" i="4" s="1"/>
  <c r="AQ37" i="4"/>
  <c r="AT35" i="10"/>
  <c r="AG35" i="10"/>
  <c r="AU35" i="10" s="1"/>
  <c r="AN25" i="4"/>
  <c r="AR25" i="4" s="1"/>
  <c r="AQ25" i="4"/>
  <c r="Q59" i="4" s="1"/>
  <c r="I44" i="12" s="1"/>
  <c r="AW27" i="10"/>
  <c r="AV27" i="10"/>
  <c r="AT25" i="4"/>
  <c r="AS25" i="4"/>
  <c r="AT45" i="4"/>
  <c r="AS45" i="4"/>
  <c r="AR27" i="4"/>
  <c r="AT36" i="4"/>
  <c r="AS36" i="4"/>
  <c r="AW28" i="10"/>
  <c r="AV28" i="10"/>
  <c r="AW46" i="10"/>
  <c r="AV46" i="10"/>
  <c r="AW29" i="10"/>
  <c r="AV29" i="10"/>
  <c r="AG43" i="10"/>
  <c r="AU43" i="10" s="1"/>
  <c r="AT43" i="10"/>
  <c r="AT33" i="4"/>
  <c r="AS33" i="4"/>
  <c r="AW52" i="10"/>
  <c r="AV52" i="10"/>
  <c r="AG44" i="10"/>
  <c r="AU44" i="10" s="1"/>
  <c r="AT44" i="10"/>
  <c r="AT26" i="4"/>
  <c r="AS26" i="4"/>
  <c r="Q57" i="4"/>
  <c r="I42" i="12" s="1"/>
  <c r="AS43" i="4"/>
  <c r="AT43" i="4"/>
  <c r="AW32" i="10"/>
  <c r="AV32" i="10"/>
  <c r="AT44" i="4"/>
  <c r="AS44" i="4"/>
  <c r="AT27" i="10"/>
  <c r="AG27" i="10"/>
  <c r="AU27" i="10" s="1"/>
  <c r="AU57" i="10" s="1"/>
  <c r="I25" i="12" s="1"/>
  <c r="AQ44" i="4"/>
  <c r="AN44" i="4"/>
  <c r="AR44" i="4" s="1"/>
  <c r="AQ26" i="4"/>
  <c r="AQ53" i="4" s="1"/>
  <c r="AQ27" i="4"/>
  <c r="AT28" i="4"/>
  <c r="AS28" i="4"/>
  <c r="AG28" i="10"/>
  <c r="AU28" i="10" s="1"/>
  <c r="AT28" i="10"/>
  <c r="T62" i="10" s="1"/>
  <c r="I59" i="12" s="1"/>
  <c r="AG29" i="10"/>
  <c r="AU29" i="10" s="1"/>
  <c r="AT29" i="10"/>
  <c r="T63" i="10" s="1"/>
  <c r="I60" i="12" s="1"/>
  <c r="AW43" i="10"/>
  <c r="AV43" i="10"/>
  <c r="AG52" i="10"/>
  <c r="AU52" i="10" s="1"/>
  <c r="AT52" i="10"/>
  <c r="AW44" i="10"/>
  <c r="AV44" i="10"/>
  <c r="I19" i="12" l="1"/>
  <c r="T57" i="10"/>
  <c r="T65" i="10"/>
  <c r="I54" i="12"/>
  <c r="I49" i="12"/>
  <c r="Q53" i="4"/>
  <c r="Q61" i="4"/>
  <c r="Q63" i="4"/>
  <c r="Q55" i="4"/>
  <c r="AV55" i="10"/>
  <c r="C32" i="10" s="1"/>
  <c r="AS53" i="4"/>
  <c r="C28" i="4" s="1"/>
  <c r="T58" i="10"/>
  <c r="T66" i="10"/>
  <c r="AW56" i="10"/>
  <c r="C33" i="10" s="1"/>
  <c r="C46" i="9" s="1"/>
  <c r="Q54" i="4"/>
  <c r="Q62" i="4"/>
  <c r="AT54" i="4"/>
  <c r="C29" i="4" s="1"/>
  <c r="C38" i="8" s="1"/>
  <c r="T61" i="10"/>
  <c r="I58" i="12" s="1"/>
  <c r="AT57" i="10"/>
  <c r="AR53" i="4"/>
  <c r="I20" i="12" s="1"/>
  <c r="I24" i="12" l="1"/>
  <c r="I26" i="12" s="1"/>
  <c r="T55" i="10"/>
  <c r="F22" i="11" s="1"/>
  <c r="I52" i="12"/>
  <c r="F20" i="11"/>
  <c r="H20" i="11" s="1"/>
  <c r="I15" i="12"/>
  <c r="I21" i="12"/>
  <c r="I37" i="12"/>
  <c r="I32" i="12" s="1"/>
  <c r="D22" i="11"/>
  <c r="I38" i="12"/>
  <c r="I33" i="12" s="1"/>
  <c r="I47" i="12"/>
  <c r="C45" i="9"/>
  <c r="C22" i="12"/>
  <c r="Q51" i="4"/>
  <c r="D21" i="11" s="1"/>
  <c r="F21" i="11"/>
  <c r="I53" i="12"/>
  <c r="I48" i="12" s="1"/>
  <c r="C37" i="8"/>
  <c r="C14" i="13"/>
  <c r="D20" i="11"/>
  <c r="I36" i="12"/>
  <c r="I31" i="12" s="1"/>
  <c r="H21" i="11" l="1"/>
  <c r="H22" i="11"/>
  <c r="H26" i="11" s="1"/>
  <c r="H31" i="11" l="1"/>
  <c r="H30" i="11"/>
  <c r="H32" i="11"/>
</calcChain>
</file>

<file path=xl/sharedStrings.xml><?xml version="1.0" encoding="utf-8"?>
<sst xmlns="http://schemas.openxmlformats.org/spreadsheetml/2006/main" count="762" uniqueCount="545">
  <si>
    <t>ENERGIESTEUN</t>
  </si>
  <si>
    <t>Toelichting</t>
  </si>
  <si>
    <t>Waarvoor gebruikt u deze rekentool?</t>
  </si>
  <si>
    <t>Met deze tool kunnen kleinverbruikers met jaarlijks uitgelezen energiemeters voor gas- en/of elektriciteit de nodige verbruiken en kosten schatten om energiesteun voor het 1ste kwartaal van 2023 aan te vragen.</t>
  </si>
  <si>
    <t>Bent u verplicht om deze tool te gebruiken?</t>
  </si>
  <si>
    <t>Neen. U bent vrij om uw feitelijke energiekosten- en verbruiken aan te tonen op een andere manier. Afrekeningsfacturen mogen echter niet integraal worden ingebracht als energiekosten voor het kwartaal.</t>
  </si>
  <si>
    <t>Hoe berekent deze tool de energiekosten per maand?</t>
  </si>
  <si>
    <t>Deze tool berekent de jaarlijkse en maandelijkse verbruiken op basis van de laatste meteropnames op dezelfde wijze als de energieleveranciers dit deden t.e.m. 2021. Hiervoor wordt een gemiddeld verbruiksprofiel per dag gehanteerd. Dit model houdt er rekening mee dat ongeveer 75% van het gasverbruik van kmo's in de wintermaanden plaatsvindt. Dit geeft doorgaans een hogere steunbare kost dan de voorschotfacturen in deze wintermaanden.</t>
  </si>
  <si>
    <t>De distributiekosten en taksen gehanteerd in de tool zijn deze voor een gemiddelde kmo. De energiekosten voor vaste contracten dient u op te geven. Enkel voor de energiekosten voor variabele tarieven wordt er gerekend met gemiddelde prijzen. Voor individuele maanden kan er een afwijking zijn t.o.v. de prijzen welke u effectief betaalt. Over een periode van meerdere maanden, zijn de verschillen tussen contracten veel minder groot.</t>
  </si>
  <si>
    <t>Voor de variabele contracten worden de door de CREG waargenomen prijzen voor een gemiddelde kmo gebruikt (jaarlijks verbruik van 100.000 kWh gas en 50.000 kWh elektriciteit).</t>
  </si>
  <si>
    <t>Jaarlijks uitgelezen meter</t>
  </si>
  <si>
    <t xml:space="preserve">Geef hier de gegevens in van een gasmeter waarvan de meterstand jaarlijks wordt doorgegeven aan de energieleverancier. Hieronder vallen ook de slimme meters waarbij u niet heeft gekozen voor een maandelijkse afrekening, maar voorschotfacturen ontvangt. </t>
  </si>
  <si>
    <t>Geef de gegevens in van de laatste afrekeningsfactuur of slotfactuur welke u ontving voor deze meter. Indien de tijd tussen de 2 opnamemomenten op deze factuur minder dan 6 maanden bedraagt, neemt u ook het verbruik van de voorlaatste afrekeningsfactuur of slotfactuur mee en vermeldt u als startdatum de startdatum van de voorlaatste factuur. In dit geval vult u de som van het verbruik van beide facturen in.</t>
  </si>
  <si>
    <t>Gasmeter</t>
  </si>
  <si>
    <t>Startdatum meteropname (dd/mm/jjjj):</t>
  </si>
  <si>
    <t>Eindatum meteropname (dd/mm/jjjj):</t>
  </si>
  <si>
    <t>Duur opnameperiode (dagen):</t>
  </si>
  <si>
    <t>Verbruik (kWh) over opnameperiode:</t>
  </si>
  <si>
    <t>Het is mogelijk dat u voor een gedeelte van de periode van 1/1/2021 tot 31/03/2023 verschillende contracten had voor deze meter. Geef in de tabel weer in welke periodes u vaste of variabele contracten had. Voor de periodes met een vast contract vult u ook de zuivere energiekost in (€/kWh excl. btw). Dit is de kost zonder heffingen, distributie- of transportkosten.</t>
  </si>
  <si>
    <t>Er is de mogelijkheid voorzien om tot 4 contracten in te voeren, maar indien u minder verschillende contracten had over de periode, mag u lijnen leeg laten.</t>
  </si>
  <si>
    <t>Startdatum</t>
  </si>
  <si>
    <t>Einddatum</t>
  </si>
  <si>
    <t>Type</t>
  </si>
  <si>
    <t>Eenheidsprijs</t>
  </si>
  <si>
    <t>(dag/maand/jaar)</t>
  </si>
  <si>
    <t>(€/kWh)</t>
  </si>
  <si>
    <t>Contract 1</t>
  </si>
  <si>
    <t>Contract 2</t>
  </si>
  <si>
    <t>Contract 3</t>
  </si>
  <si>
    <t>Contract 4</t>
  </si>
  <si>
    <t>Elektriciteitsverbruik en kosten voor elektriciteit</t>
  </si>
  <si>
    <t xml:space="preserve">Geef hier de gegevens in van een elektriciteitsmeter waarvan de meterstand jaarlijks wordt doorgegeven aan de energieleverancier. Hieronder vallen ook de slimme meters waarbij u niet heeft gekozen voor een maandelijkse afrekening, maar voorschotfacturen ontvangt. </t>
  </si>
  <si>
    <t>Geef telkens de totale verbruiken op deze meter (som van piekverbruik, dalverbruik, uitsluitend nachtverbruik). In het geval van een slimme meter met aangesloten PV-panelen dient u de totale injectie (piek + dal) van het totaal af te trekken.</t>
  </si>
  <si>
    <t>De berekening maakt geen onderscheid tussen tarieven voor piek, dal of injectie, maar rekent met een gemiddeld tarief, zoals gepubliceerd door de CREG (zie tabblad 'Energieprijzen kmo's).</t>
  </si>
  <si>
    <t>Geef de gegevens in van de laatste afrekeningsfactuur of slotfactuur welke u ontving. Indien de tijd tussen de 2 opnamemomenten minder dan 6 maanden bedraagt, neemt u ook het verbruik van de voorlaatste afrekeningsfactuur of slotfactuur mee en vermeldt u als startdatum de startdatum van de voorlaatste factuur. In dit geval vult u de som van het verbruik van beide facturen in.</t>
  </si>
  <si>
    <t>Elektriciteitsmeter</t>
  </si>
  <si>
    <t>Verbruik over opnameperiode:</t>
  </si>
  <si>
    <t>- enkelvoudig tarief (kWh)</t>
  </si>
  <si>
    <t>- piek/dagtarief (kWh)</t>
  </si>
  <si>
    <t>- dal/nachttarief (kWh)</t>
  </si>
  <si>
    <t>- uitsluitend nachttarief (kWh) (zeldzaam)</t>
  </si>
  <si>
    <t>Totaal verbruik over opnameperiode (kWh)</t>
  </si>
  <si>
    <t>Het is mogelijk dat u voor een gedeelte van de periode van 1/1/2021 tot 31/03/2023 verschillende contracten had voor deze meter. Geef in de tabel weer in welke periodes u vaste of variabele contracten had. Voor de periodes met een vast contract vult u ook de zuivere energiekost in (€/kWh excl. btw). Dit is de kost zonder heffingen, WKK- of groene stroom bijdrage, distributie- of transportkosten.</t>
  </si>
  <si>
    <t>Zichtbaar?</t>
  </si>
  <si>
    <t>Ontbrekend?</t>
  </si>
  <si>
    <t>Eenheidsprijs (€/kWh)</t>
  </si>
  <si>
    <t>enkelvoudig</t>
  </si>
  <si>
    <t>dag/piek</t>
  </si>
  <si>
    <t>nacht/dal</t>
  </si>
  <si>
    <t>uitsluitend nacht</t>
  </si>
  <si>
    <t>Resultaat</t>
  </si>
  <si>
    <t>Berekende steun</t>
  </si>
  <si>
    <t>De hierna weergegeven resultaten zijn slechts indicatief en hangen af van:</t>
  </si>
  <si>
    <t>- eventuele steunlimieten omwille van steun aan verbonden ondernemingen of het overschrijden van de voorziene begroting (125.000.000€) voor deze subsidie</t>
  </si>
  <si>
    <t>Meerkosten</t>
  </si>
  <si>
    <t>Maand</t>
  </si>
  <si>
    <t>Meerkost gas</t>
  </si>
  <si>
    <t>Meerkost elektriciteit</t>
  </si>
  <si>
    <t>Totale meerkost</t>
  </si>
  <si>
    <t>januari 2023 (*)</t>
  </si>
  <si>
    <t>februari 2023 (*)</t>
  </si>
  <si>
    <t>maart 2023 (*)</t>
  </si>
  <si>
    <t>(*) Beperkt tot 70% van het verbruik van dezelfde maand in 2021.</t>
  </si>
  <si>
    <t>Totaal</t>
  </si>
  <si>
    <t>Effectieve prijs elektriciteit (in euro)</t>
  </si>
  <si>
    <t>Steun</t>
  </si>
  <si>
    <t>Ondernemingen categorie A - 25%</t>
  </si>
  <si>
    <t>Ondernemingen categorie B (energie-intensief) - 30%</t>
  </si>
  <si>
    <t>Ondernemingen categorie C (bijzonder getroffen sectoren) - 35%</t>
  </si>
  <si>
    <t>Invoer website</t>
  </si>
  <si>
    <t>Op basis van de door u opgegeven gevens werden de volgende gemiddelde energieprijzen en verbruiken berekend. Deze resultaten dient u in te geven in de applicatie.</t>
  </si>
  <si>
    <t>Scherm 2 - Ondernemingsgegevens</t>
  </si>
  <si>
    <t>Energie-intensiteit van de onderneming</t>
  </si>
  <si>
    <t xml:space="preserve">Totale energie-uitgaven voor gas en elektriciteit voor 2021 op </t>
  </si>
  <si>
    <t>ondernemingsniveau.</t>
  </si>
  <si>
    <t>Gemiddelde prijs gas 2021 (€/kWh)</t>
  </si>
  <si>
    <t>Referentieprijs elektriciteit</t>
  </si>
  <si>
    <t>Totale elektriciteitsverbruik voor de Vlaamse vestigingen voor 2021 (kWh)</t>
  </si>
  <si>
    <t>Totale energiekost voor elektriciteit voor de Vlaamse vestigingen voor 2021</t>
  </si>
  <si>
    <t>Gemiddelde prijs elektricitieit 2021 (€/kWh)</t>
  </si>
  <si>
    <t>Scherm 3 - Energiegegevens</t>
  </si>
  <si>
    <t>januari 2023</t>
  </si>
  <si>
    <t>februari 2023</t>
  </si>
  <si>
    <t>maart 2023</t>
  </si>
  <si>
    <t>januari 2021</t>
  </si>
  <si>
    <t>februari 2021</t>
  </si>
  <si>
    <t>maart 2021</t>
  </si>
  <si>
    <t>Kosten elektriciteit (in euro)</t>
  </si>
  <si>
    <t>Elektriciteitsverbruik (in kWh)</t>
  </si>
  <si>
    <t>Energieprijzen</t>
  </si>
  <si>
    <t>Gemiddelde energieprijzen voor kmo's</t>
  </si>
  <si>
    <t>totale kost elektriciteit
(€/kWh excl. btw)</t>
  </si>
  <si>
    <t>zuivere energiekost elektriciteit
(€/kWh excl. btw)</t>
  </si>
  <si>
    <t>taksen en distributie elektriciteit 
(€/kWh excl. btw)</t>
  </si>
  <si>
    <t>Zoals gepubliceerd in de maandelijkse boordtabellen van de CREG</t>
  </si>
  <si>
    <t>(Commissie voor de Regulering voor de Elektriciteit en het Gas)</t>
  </si>
  <si>
    <t>https://www.creg.be/nl/professionals/marktwerking-en-monitoring/boordtabel</t>
  </si>
  <si>
    <t>Het betreft de gemiddelde commerciële prijs op basis van het actieve aanbod op de markt voor contracten in de betreffende maand voor een kmo met een verbruik van aardgas van 100.000 kWh/jaar en een verbruik van elektriciteit van 50.000 kWh/jaar</t>
  </si>
  <si>
    <t>Verdeling van het verbruik doorheen het jaar</t>
  </si>
  <si>
    <t>Elektriciteit</t>
  </si>
  <si>
    <t>januari</t>
  </si>
  <si>
    <t>februari</t>
  </si>
  <si>
    <t>maart</t>
  </si>
  <si>
    <t>april</t>
  </si>
  <si>
    <t>mei</t>
  </si>
  <si>
    <t>juni</t>
  </si>
  <si>
    <t>juli</t>
  </si>
  <si>
    <t>augustus</t>
  </si>
  <si>
    <t>september</t>
  </si>
  <si>
    <t>oktober</t>
  </si>
  <si>
    <t>november</t>
  </si>
  <si>
    <t>december</t>
  </si>
  <si>
    <t>Op basis van de synthetische lastprofielen welke door de VREG werden goedgekeurd voor 2021:
- S11 voor professionele elektriciteitsafnemers met een aansluitingsvermogen &lt; 56 kVA
- S31 voor professionele aardgasafnemers met een verbruik &lt;150.000 kWh</t>
  </si>
  <si>
    <t>https://www.vreg.be/nl/document/besl-2020-87</t>
  </si>
  <si>
    <t>https://www.vreg.be/nl/document/besl-2021-31</t>
  </si>
  <si>
    <t>Deze tool berekent het maandelijks energieverbruik op dezelde wijze waarop energieleveranciers t.e.m. 2021 het jaarlijks en maandelijks verbruik berekenden op basis van de data van de meteropname en het verbruik tijdens deze periode.</t>
  </si>
  <si>
    <t>Dag</t>
  </si>
  <si>
    <t>Dagnummer</t>
  </si>
  <si>
    <t>Elek S11 &lt;56KVA</t>
  </si>
  <si>
    <t>Gas S31_6 &lt;0.15GW</t>
  </si>
  <si>
    <t>1/jan</t>
  </si>
  <si>
    <t>2/jan</t>
  </si>
  <si>
    <t>3/jan</t>
  </si>
  <si>
    <t>4/jan</t>
  </si>
  <si>
    <t>5/jan</t>
  </si>
  <si>
    <t>6/jan</t>
  </si>
  <si>
    <t>7/jan</t>
  </si>
  <si>
    <t>8/jan</t>
  </si>
  <si>
    <t>9/jan</t>
  </si>
  <si>
    <t>10/jan</t>
  </si>
  <si>
    <t>11/jan</t>
  </si>
  <si>
    <t>12/jan</t>
  </si>
  <si>
    <t>13/jan</t>
  </si>
  <si>
    <t>14/jan</t>
  </si>
  <si>
    <t>15/jan</t>
  </si>
  <si>
    <t>16/jan</t>
  </si>
  <si>
    <t>17/jan</t>
  </si>
  <si>
    <t>18/jan</t>
  </si>
  <si>
    <t>19/jan</t>
  </si>
  <si>
    <t>20/jan</t>
  </si>
  <si>
    <t>21/jan</t>
  </si>
  <si>
    <t>22/jan</t>
  </si>
  <si>
    <t>23/jan</t>
  </si>
  <si>
    <t>24/jan</t>
  </si>
  <si>
    <t>25/jan</t>
  </si>
  <si>
    <t>26/jan</t>
  </si>
  <si>
    <t>27/jan</t>
  </si>
  <si>
    <t>28/jan</t>
  </si>
  <si>
    <t>29/jan</t>
  </si>
  <si>
    <t>30/jan</t>
  </si>
  <si>
    <t>31/jan</t>
  </si>
  <si>
    <t>1/feb</t>
  </si>
  <si>
    <t>2/feb</t>
  </si>
  <si>
    <t>3/feb</t>
  </si>
  <si>
    <t>4/feb</t>
  </si>
  <si>
    <t>5/feb</t>
  </si>
  <si>
    <t>6/feb</t>
  </si>
  <si>
    <t>7/feb</t>
  </si>
  <si>
    <t>8/feb</t>
  </si>
  <si>
    <t>9/feb</t>
  </si>
  <si>
    <t>10/feb</t>
  </si>
  <si>
    <t>11/feb</t>
  </si>
  <si>
    <t>12/feb</t>
  </si>
  <si>
    <t>13/feb</t>
  </si>
  <si>
    <t>14/feb</t>
  </si>
  <si>
    <t>15/feb</t>
  </si>
  <si>
    <t>16/feb</t>
  </si>
  <si>
    <t>17/feb</t>
  </si>
  <si>
    <t>18/feb</t>
  </si>
  <si>
    <t>19/feb</t>
  </si>
  <si>
    <t>20/feb</t>
  </si>
  <si>
    <t>21/feb</t>
  </si>
  <si>
    <t>22/feb</t>
  </si>
  <si>
    <t>23/feb</t>
  </si>
  <si>
    <t>24/feb</t>
  </si>
  <si>
    <t>25/feb</t>
  </si>
  <si>
    <t>26/feb</t>
  </si>
  <si>
    <t>27/feb</t>
  </si>
  <si>
    <t>28/feb</t>
  </si>
  <si>
    <t>1/mrt</t>
  </si>
  <si>
    <t>2/mrt</t>
  </si>
  <si>
    <t>3/mrt</t>
  </si>
  <si>
    <t>4/mrt</t>
  </si>
  <si>
    <t>5/mrt</t>
  </si>
  <si>
    <t>6/mrt</t>
  </si>
  <si>
    <t>7/mrt</t>
  </si>
  <si>
    <t>8/mrt</t>
  </si>
  <si>
    <t>9/mrt</t>
  </si>
  <si>
    <t>10/mrt</t>
  </si>
  <si>
    <t>11/mrt</t>
  </si>
  <si>
    <t>12/mrt</t>
  </si>
  <si>
    <t>13/mrt</t>
  </si>
  <si>
    <t>14/mrt</t>
  </si>
  <si>
    <t>15/mrt</t>
  </si>
  <si>
    <t>16/mrt</t>
  </si>
  <si>
    <t>17/mrt</t>
  </si>
  <si>
    <t>18/mrt</t>
  </si>
  <si>
    <t>19/mrt</t>
  </si>
  <si>
    <t>20/mrt</t>
  </si>
  <si>
    <t>21/mrt</t>
  </si>
  <si>
    <t>22/mrt</t>
  </si>
  <si>
    <t>23/mrt</t>
  </si>
  <si>
    <t>24/mrt</t>
  </si>
  <si>
    <t>25/mrt</t>
  </si>
  <si>
    <t>26/mrt</t>
  </si>
  <si>
    <t>27/mrt</t>
  </si>
  <si>
    <t>28/mrt</t>
  </si>
  <si>
    <t>29/mrt</t>
  </si>
  <si>
    <t>30/mrt</t>
  </si>
  <si>
    <t>31/mrt</t>
  </si>
  <si>
    <t>1/apr</t>
  </si>
  <si>
    <t>2/apr</t>
  </si>
  <si>
    <t>3/apr</t>
  </si>
  <si>
    <t>4/apr</t>
  </si>
  <si>
    <t>5/apr</t>
  </si>
  <si>
    <t>6/apr</t>
  </si>
  <si>
    <t>7/apr</t>
  </si>
  <si>
    <t>8/apr</t>
  </si>
  <si>
    <t>9/apr</t>
  </si>
  <si>
    <t>10/apr</t>
  </si>
  <si>
    <t>11/apr</t>
  </si>
  <si>
    <t>12/apr</t>
  </si>
  <si>
    <t>13/apr</t>
  </si>
  <si>
    <t>14/apr</t>
  </si>
  <si>
    <t>15/apr</t>
  </si>
  <si>
    <t>16/apr</t>
  </si>
  <si>
    <t>17/apr</t>
  </si>
  <si>
    <t>18/apr</t>
  </si>
  <si>
    <t>19/apr</t>
  </si>
  <si>
    <t>20/apr</t>
  </si>
  <si>
    <t>21/apr</t>
  </si>
  <si>
    <t>22/apr</t>
  </si>
  <si>
    <t>23/apr</t>
  </si>
  <si>
    <t>24/apr</t>
  </si>
  <si>
    <t>25/apr</t>
  </si>
  <si>
    <t>26/apr</t>
  </si>
  <si>
    <t>27/apr</t>
  </si>
  <si>
    <t>28/apr</t>
  </si>
  <si>
    <t>29/apr</t>
  </si>
  <si>
    <t>30/apr</t>
  </si>
  <si>
    <t>1/mei</t>
  </si>
  <si>
    <t>2/mei</t>
  </si>
  <si>
    <t>3/mei</t>
  </si>
  <si>
    <t>4/mei</t>
  </si>
  <si>
    <t>5/mei</t>
  </si>
  <si>
    <t>6/mei</t>
  </si>
  <si>
    <t>7/mei</t>
  </si>
  <si>
    <t>8/mei</t>
  </si>
  <si>
    <t>9/mei</t>
  </si>
  <si>
    <t>10/mei</t>
  </si>
  <si>
    <t>11/mei</t>
  </si>
  <si>
    <t>12/mei</t>
  </si>
  <si>
    <t>13/mei</t>
  </si>
  <si>
    <t>14/mei</t>
  </si>
  <si>
    <t>15/mei</t>
  </si>
  <si>
    <t>16/mei</t>
  </si>
  <si>
    <t>17/mei</t>
  </si>
  <si>
    <t>18/mei</t>
  </si>
  <si>
    <t>19/mei</t>
  </si>
  <si>
    <t>20/mei</t>
  </si>
  <si>
    <t>21/mei</t>
  </si>
  <si>
    <t>22/mei</t>
  </si>
  <si>
    <t>23/mei</t>
  </si>
  <si>
    <t>24/mei</t>
  </si>
  <si>
    <t>25/mei</t>
  </si>
  <si>
    <t>26/mei</t>
  </si>
  <si>
    <t>27/mei</t>
  </si>
  <si>
    <t>28/mei</t>
  </si>
  <si>
    <t>29/mei</t>
  </si>
  <si>
    <t>30/mei</t>
  </si>
  <si>
    <t>31/mei</t>
  </si>
  <si>
    <t>1/jun</t>
  </si>
  <si>
    <t>2/jun</t>
  </si>
  <si>
    <t>3/jun</t>
  </si>
  <si>
    <t>4/jun</t>
  </si>
  <si>
    <t>5/jun</t>
  </si>
  <si>
    <t>6/jun</t>
  </si>
  <si>
    <t>7/jun</t>
  </si>
  <si>
    <t>8/jun</t>
  </si>
  <si>
    <t>9/jun</t>
  </si>
  <si>
    <t>10/jun</t>
  </si>
  <si>
    <t>11/jun</t>
  </si>
  <si>
    <t>12/jun</t>
  </si>
  <si>
    <t>13/jun</t>
  </si>
  <si>
    <t>14/jun</t>
  </si>
  <si>
    <t>15/jun</t>
  </si>
  <si>
    <t>16/jun</t>
  </si>
  <si>
    <t>17/jun</t>
  </si>
  <si>
    <t>18/jun</t>
  </si>
  <si>
    <t>19/jun</t>
  </si>
  <si>
    <t>20/jun</t>
  </si>
  <si>
    <t>21/jun</t>
  </si>
  <si>
    <t>22/jun</t>
  </si>
  <si>
    <t>23/jun</t>
  </si>
  <si>
    <t>24/jun</t>
  </si>
  <si>
    <t>25/jun</t>
  </si>
  <si>
    <t>26/jun</t>
  </si>
  <si>
    <t>27/jun</t>
  </si>
  <si>
    <t>28/jun</t>
  </si>
  <si>
    <t>29/jun</t>
  </si>
  <si>
    <t>30/jun</t>
  </si>
  <si>
    <t>1/jul</t>
  </si>
  <si>
    <t>2/jul</t>
  </si>
  <si>
    <t>3/jul</t>
  </si>
  <si>
    <t>4/jul</t>
  </si>
  <si>
    <t>5/jul</t>
  </si>
  <si>
    <t>6/jul</t>
  </si>
  <si>
    <t>7/jul</t>
  </si>
  <si>
    <t>8/jul</t>
  </si>
  <si>
    <t>9/jul</t>
  </si>
  <si>
    <t>10/jul</t>
  </si>
  <si>
    <t>11/jul</t>
  </si>
  <si>
    <t>12/jul</t>
  </si>
  <si>
    <t>13/jul</t>
  </si>
  <si>
    <t>14/jul</t>
  </si>
  <si>
    <t>15/jul</t>
  </si>
  <si>
    <t>16/jul</t>
  </si>
  <si>
    <t>17/jul</t>
  </si>
  <si>
    <t>18/jul</t>
  </si>
  <si>
    <t>19/jul</t>
  </si>
  <si>
    <t>20/jul</t>
  </si>
  <si>
    <t>21/jul</t>
  </si>
  <si>
    <t>22/jul</t>
  </si>
  <si>
    <t>23/jul</t>
  </si>
  <si>
    <t>24/jul</t>
  </si>
  <si>
    <t>25/jul</t>
  </si>
  <si>
    <t>26/jul</t>
  </si>
  <si>
    <t>27/jul</t>
  </si>
  <si>
    <t>28/jul</t>
  </si>
  <si>
    <t>29/jul</t>
  </si>
  <si>
    <t>30/jul</t>
  </si>
  <si>
    <t>31/jul</t>
  </si>
  <si>
    <t>1/aug</t>
  </si>
  <si>
    <t>2/aug</t>
  </si>
  <si>
    <t>3/aug</t>
  </si>
  <si>
    <t>4/aug</t>
  </si>
  <si>
    <t>5/aug</t>
  </si>
  <si>
    <t>6/aug</t>
  </si>
  <si>
    <t>7/aug</t>
  </si>
  <si>
    <t>8/aug</t>
  </si>
  <si>
    <t>9/aug</t>
  </si>
  <si>
    <t>10/aug</t>
  </si>
  <si>
    <t>11/aug</t>
  </si>
  <si>
    <t>12/aug</t>
  </si>
  <si>
    <t>13/aug</t>
  </si>
  <si>
    <t>14/aug</t>
  </si>
  <si>
    <t>15/aug</t>
  </si>
  <si>
    <t>16/aug</t>
  </si>
  <si>
    <t>17/aug</t>
  </si>
  <si>
    <t>18/aug</t>
  </si>
  <si>
    <t>19/aug</t>
  </si>
  <si>
    <t>20/aug</t>
  </si>
  <si>
    <t>21/aug</t>
  </si>
  <si>
    <t>22/aug</t>
  </si>
  <si>
    <t>23/aug</t>
  </si>
  <si>
    <t>24/aug</t>
  </si>
  <si>
    <t>25/aug</t>
  </si>
  <si>
    <t>26/aug</t>
  </si>
  <si>
    <t>27/aug</t>
  </si>
  <si>
    <t>28/aug</t>
  </si>
  <si>
    <t>29/aug</t>
  </si>
  <si>
    <t>30/aug</t>
  </si>
  <si>
    <t>31/aug</t>
  </si>
  <si>
    <t>1/sep</t>
  </si>
  <si>
    <t>2/sep</t>
  </si>
  <si>
    <t>3/sep</t>
  </si>
  <si>
    <t>4/sep</t>
  </si>
  <si>
    <t>5/sep</t>
  </si>
  <si>
    <t>6/sep</t>
  </si>
  <si>
    <t>7/sep</t>
  </si>
  <si>
    <t>8/sep</t>
  </si>
  <si>
    <t>9/sep</t>
  </si>
  <si>
    <t>10/sep</t>
  </si>
  <si>
    <t>11/sep</t>
  </si>
  <si>
    <t>12/sep</t>
  </si>
  <si>
    <t>13/sep</t>
  </si>
  <si>
    <t>14/sep</t>
  </si>
  <si>
    <t>15/sep</t>
  </si>
  <si>
    <t>16/sep</t>
  </si>
  <si>
    <t>17/sep</t>
  </si>
  <si>
    <t>18/sep</t>
  </si>
  <si>
    <t>19/sep</t>
  </si>
  <si>
    <t>20/sep</t>
  </si>
  <si>
    <t>21/sep</t>
  </si>
  <si>
    <t>22/sep</t>
  </si>
  <si>
    <t>23/sep</t>
  </si>
  <si>
    <t>24/sep</t>
  </si>
  <si>
    <t>25/sep</t>
  </si>
  <si>
    <t>26/sep</t>
  </si>
  <si>
    <t>27/sep</t>
  </si>
  <si>
    <t>28/sep</t>
  </si>
  <si>
    <t>29/sep</t>
  </si>
  <si>
    <t>30/sep</t>
  </si>
  <si>
    <t>1/okt</t>
  </si>
  <si>
    <t>2/okt</t>
  </si>
  <si>
    <t>3/okt</t>
  </si>
  <si>
    <t>4/okt</t>
  </si>
  <si>
    <t>5/okt</t>
  </si>
  <si>
    <t>6/okt</t>
  </si>
  <si>
    <t>7/okt</t>
  </si>
  <si>
    <t>8/okt</t>
  </si>
  <si>
    <t>9/okt</t>
  </si>
  <si>
    <t>10/okt</t>
  </si>
  <si>
    <t>11/okt</t>
  </si>
  <si>
    <t>12/okt</t>
  </si>
  <si>
    <t>13/okt</t>
  </si>
  <si>
    <t>14/okt</t>
  </si>
  <si>
    <t>15/okt</t>
  </si>
  <si>
    <t>16/okt</t>
  </si>
  <si>
    <t>17/okt</t>
  </si>
  <si>
    <t>18/okt</t>
  </si>
  <si>
    <t>19/okt</t>
  </si>
  <si>
    <t>20/okt</t>
  </si>
  <si>
    <t>21/okt</t>
  </si>
  <si>
    <t>22/okt</t>
  </si>
  <si>
    <t>23/okt</t>
  </si>
  <si>
    <t>24/okt</t>
  </si>
  <si>
    <t>25/okt</t>
  </si>
  <si>
    <t>26/okt</t>
  </si>
  <si>
    <t>27/okt</t>
  </si>
  <si>
    <t>28/okt</t>
  </si>
  <si>
    <t>29/okt</t>
  </si>
  <si>
    <t>30/okt</t>
  </si>
  <si>
    <t>31/okt</t>
  </si>
  <si>
    <t>1/nov</t>
  </si>
  <si>
    <t>2/nov</t>
  </si>
  <si>
    <t>3/nov</t>
  </si>
  <si>
    <t>4/nov</t>
  </si>
  <si>
    <t>5/nov</t>
  </si>
  <si>
    <t>6/nov</t>
  </si>
  <si>
    <t>7/nov</t>
  </si>
  <si>
    <t>8/nov</t>
  </si>
  <si>
    <t>9/nov</t>
  </si>
  <si>
    <t>10/nov</t>
  </si>
  <si>
    <t>11/nov</t>
  </si>
  <si>
    <t>12/nov</t>
  </si>
  <si>
    <t>13/nov</t>
  </si>
  <si>
    <t>14/nov</t>
  </si>
  <si>
    <t>15/nov</t>
  </si>
  <si>
    <t>16/nov</t>
  </si>
  <si>
    <t>17/nov</t>
  </si>
  <si>
    <t>18/nov</t>
  </si>
  <si>
    <t>19/nov</t>
  </si>
  <si>
    <t>20/nov</t>
  </si>
  <si>
    <t>21/nov</t>
  </si>
  <si>
    <t>22/nov</t>
  </si>
  <si>
    <t>23/nov</t>
  </si>
  <si>
    <t>24/nov</t>
  </si>
  <si>
    <t>25/nov</t>
  </si>
  <si>
    <t>26/nov</t>
  </si>
  <si>
    <t>27/nov</t>
  </si>
  <si>
    <t>28/nov</t>
  </si>
  <si>
    <t>29/nov</t>
  </si>
  <si>
    <t>30/nov</t>
  </si>
  <si>
    <t>1/dec</t>
  </si>
  <si>
    <t>2/dec</t>
  </si>
  <si>
    <t>3/dec</t>
  </si>
  <si>
    <t>4/dec</t>
  </si>
  <si>
    <t>5/dec</t>
  </si>
  <si>
    <t>6/dec</t>
  </si>
  <si>
    <t>7/dec</t>
  </si>
  <si>
    <t>8/dec</t>
  </si>
  <si>
    <t>9/dec</t>
  </si>
  <si>
    <t>10/dec</t>
  </si>
  <si>
    <t>11/dec</t>
  </si>
  <si>
    <t>12/dec</t>
  </si>
  <si>
    <t>13/dec</t>
  </si>
  <si>
    <t>14/dec</t>
  </si>
  <si>
    <t>15/dec</t>
  </si>
  <si>
    <t>16/dec</t>
  </si>
  <si>
    <t>17/dec</t>
  </si>
  <si>
    <t>18/dec</t>
  </si>
  <si>
    <t>19/dec</t>
  </si>
  <si>
    <t>20/dec</t>
  </si>
  <si>
    <t>21/dec</t>
  </si>
  <si>
    <t>22/dec</t>
  </si>
  <si>
    <t>23/dec</t>
  </si>
  <si>
    <t>24/dec</t>
  </si>
  <si>
    <t>25/dec</t>
  </si>
  <si>
    <t>26/dec</t>
  </si>
  <si>
    <t>27/dec</t>
  </si>
  <si>
    <t>28/dec</t>
  </si>
  <si>
    <t>29/dec</t>
  </si>
  <si>
    <t>30/dec</t>
  </si>
  <si>
    <t>31/dec</t>
  </si>
  <si>
    <t xml:space="preserve"> (voor schrikkeljaar 2020)</t>
  </si>
  <si>
    <t>Berekening gasverbruik</t>
  </si>
  <si>
    <t>Type contract</t>
  </si>
  <si>
    <t>Vaste prijs</t>
  </si>
  <si>
    <t>Variabele prijs</t>
  </si>
  <si>
    <t>Meter 1</t>
  </si>
  <si>
    <t>Dagnummer startdatum meteropname:</t>
  </si>
  <si>
    <t>Cumulatief verbruik</t>
  </si>
  <si>
    <t>Dagnummer einddatum meteropname:</t>
  </si>
  <si>
    <t>%jaarverbruik over opnameperiode</t>
  </si>
  <si>
    <t>Jaarlijks verbruik aanvrager:</t>
  </si>
  <si>
    <t>kWh</t>
  </si>
  <si>
    <t>Jaar</t>
  </si>
  <si>
    <t>Maandnummer</t>
  </si>
  <si>
    <t>Dagen</t>
  </si>
  <si>
    <t>Verbruik</t>
  </si>
  <si>
    <t>Kost</t>
  </si>
  <si>
    <t xml:space="preserve">Verbruik </t>
  </si>
  <si>
    <t>Overlap?</t>
  </si>
  <si>
    <t>Onvolledig?</t>
  </si>
  <si>
    <t>(SLP %)</t>
  </si>
  <si>
    <t>variabel</t>
  </si>
  <si>
    <t>vast</t>
  </si>
  <si>
    <t>(SLP)</t>
  </si>
  <si>
    <t>dagen</t>
  </si>
  <si>
    <t>start</t>
  </si>
  <si>
    <t>verbruik</t>
  </si>
  <si>
    <t>kost</t>
  </si>
  <si>
    <t>(kWh)</t>
  </si>
  <si>
    <t>contract?</t>
  </si>
  <si>
    <t>(€)</t>
  </si>
  <si>
    <t>Energieprijs 2021</t>
  </si>
  <si>
    <t>€/kWh</t>
  </si>
  <si>
    <t>Energieprijs januari 2023</t>
  </si>
  <si>
    <t>Totaal 2021</t>
  </si>
  <si>
    <t>Energieprijs februari 2023</t>
  </si>
  <si>
    <t>Energieprijs maart 2023</t>
  </si>
  <si>
    <t>Effectief verbruik januari 2021</t>
  </si>
  <si>
    <t>Effectief verbruik februari 2021</t>
  </si>
  <si>
    <t>Effectief verbruik maart 2021</t>
  </si>
  <si>
    <t>Effectief verbruik januari 2023</t>
  </si>
  <si>
    <t>Effectief verbruik februari 2023</t>
  </si>
  <si>
    <t>Effectief verbruik maart 2023</t>
  </si>
  <si>
    <t>- uitsluitend nachttarief (kWh) (zelfdzaam)</t>
  </si>
  <si>
    <t>overige</t>
  </si>
  <si>
    <t>gewogen</t>
  </si>
  <si>
    <t>Deze steun dient te worden aangevraagd via de webapplicatie op de website van VLAIO</t>
  </si>
  <si>
    <t>www.vlaio.be/energiesteun2</t>
  </si>
  <si>
    <t>- het voldoen van de aanvrager aan de voorwaarden voor energiesteun 2</t>
  </si>
  <si>
    <t>Aardgasverbruik en kosten voor aardgas</t>
  </si>
  <si>
    <t>Kosten aardgas (in euro)</t>
  </si>
  <si>
    <t>Referentieprijs aardgas</t>
  </si>
  <si>
    <t>Totale aardgasverbruik voor de Vlaamse vestigingen voor 2021 (kWh)</t>
  </si>
  <si>
    <t>Totale energiekost voor aardgas voor de Vlaamse vestigingen voor 2021</t>
  </si>
  <si>
    <t>Aardgasverbruik (in kWh)</t>
  </si>
  <si>
    <t>totale kost aardgas
(€/kWh excl. btw)</t>
  </si>
  <si>
    <t>zuivere energiekost aardgas
(€/kWh excl. btw)</t>
  </si>
  <si>
    <t>taksen en distributie aardgas
(€/kWh excl. btw)</t>
  </si>
  <si>
    <t>Aardgas</t>
  </si>
  <si>
    <t>Procentueel maandelijks verbruik voor aardgas en elektriciteit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</si>
</sst>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quot;€&quot;"/>
    <numFmt numFmtId="165" formatCode="d/mm/yy;@"/>
    <numFmt numFmtId="166" formatCode="#,##0.00\ &quot;€&quot;"/>
    <numFmt numFmtId="167" formatCode="&quot;€&quot;\ #,##0.0000"/>
    <numFmt numFmtId="168" formatCode="0.0000"/>
    <numFmt numFmtId="169" formatCode="#,##0\ &quot;€&quot;"/>
  </numFmts>
  <fonts count="19"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1"/>
      <color rgb="FFFF0000"/>
      <name val="Calibri"/>
      <family val="2"/>
      <scheme val="minor"/>
    </font>
    <font>
      <i/>
      <sz val="11"/>
      <color theme="1"/>
      <name val="Calibri"/>
      <family val="2"/>
      <scheme val="minor"/>
    </font>
    <font>
      <b/>
      <sz val="16"/>
      <color theme="1"/>
      <name val="Calibri"/>
      <family val="2"/>
      <scheme val="minor"/>
    </font>
    <font>
      <sz val="20"/>
      <color rgb="FF333333"/>
      <name val="Calibri"/>
      <family val="2"/>
      <scheme val="minor"/>
    </font>
    <font>
      <b/>
      <i/>
      <sz val="11"/>
      <color rgb="FF009B48"/>
      <name val="Calibri"/>
      <family val="2"/>
      <scheme val="minor"/>
    </font>
    <font>
      <sz val="11"/>
      <color rgb="FF333333"/>
      <name val="Calibri"/>
      <family val="2"/>
      <scheme val="minor"/>
    </font>
    <font>
      <b/>
      <sz val="11"/>
      <color rgb="FF333333"/>
      <name val="Calibri"/>
      <family val="2"/>
      <scheme val="minor"/>
    </font>
    <font>
      <b/>
      <sz val="12"/>
      <color theme="1"/>
      <name val="Calibri"/>
      <family val="2"/>
      <scheme val="minor"/>
    </font>
    <font>
      <i/>
      <sz val="11"/>
      <color rgb="FF333333"/>
      <name val="Calibri"/>
      <family val="2"/>
      <scheme val="minor"/>
    </font>
    <font>
      <b/>
      <sz val="11"/>
      <name val="Calibri"/>
      <family val="2"/>
      <scheme val="minor"/>
    </font>
    <font>
      <sz val="11"/>
      <name val="Calibri"/>
      <family val="2"/>
      <scheme val="minor"/>
    </font>
    <font>
      <b/>
      <i/>
      <sz val="11"/>
      <color theme="1"/>
      <name val="Calibri"/>
      <family val="2"/>
      <scheme val="minor"/>
    </font>
    <font>
      <b/>
      <i/>
      <sz val="14"/>
      <color rgb="FF009B48"/>
      <name val="Calibri"/>
      <family val="2"/>
      <scheme val="minor"/>
    </font>
    <font>
      <b/>
      <sz val="11"/>
      <color theme="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E7F0FE"/>
        <bgColor indexed="64"/>
      </patternFill>
    </fill>
    <fill>
      <patternFill patternType="solid">
        <fgColor theme="5" tint="0.79998168889431442"/>
        <bgColor indexed="64"/>
      </patternFill>
    </fill>
    <fill>
      <patternFill patternType="solid">
        <fgColor rgb="FFFFFF00"/>
        <bgColor indexed="64"/>
      </patternFill>
    </fill>
  </fills>
  <borders count="7">
    <border>
      <left/>
      <right/>
      <top/>
      <bottom/>
      <diagonal/>
    </border>
    <border>
      <left/>
      <right/>
      <top/>
      <bottom style="hair">
        <color auto="1"/>
      </bottom>
      <diagonal/>
    </border>
    <border>
      <left/>
      <right/>
      <top style="hair">
        <color auto="1"/>
      </top>
      <bottom style="hair">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rgb="FFFF0000"/>
      </left>
      <right style="thin">
        <color rgb="FFFF0000"/>
      </right>
      <top style="thin">
        <color rgb="FFFF0000"/>
      </top>
      <bottom style="thin">
        <color rgb="FFFF0000"/>
      </bottom>
      <diagonal/>
    </border>
    <border>
      <left/>
      <right/>
      <top style="medium">
        <color rgb="FF009B48"/>
      </top>
      <bottom style="medium">
        <color rgb="FF009B48"/>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2">
    <xf numFmtId="0" fontId="0" fillId="0" borderId="0"/>
    <xf numFmtId="0" fontId="3" fillId="0" borderId="0" applyNumberFormat="0" applyFill="0" applyBorder="0" applyAlignment="0" applyProtection="0"/>
  </cellStyleXfs>
  <cellXfs count="93">
    <xf numFmtId="0" fontId="0" fillId="0" borderId="0" xfId="0"/>
    <xf numFmtId="0" fontId="2" fillId="0" borderId="0" xfId="0" applyFont="1" applyAlignment="1">
      <alignment wrapText="1"/>
    </xf>
    <xf numFmtId="0" fontId="2" fillId="0" borderId="0" xfId="0" applyFont="1"/>
    <xf numFmtId="0" fontId="3" fillId="0" borderId="0" xfId="1"/>
    <xf numFmtId="10" fontId="0" fillId="0" borderId="2" xfId="0" applyNumberFormat="1" applyBorder="1"/>
    <xf numFmtId="10" fontId="0" fillId="0" borderId="1" xfId="0" applyNumberFormat="1" applyBorder="1"/>
    <xf numFmtId="0" fontId="3" fillId="0" borderId="0" xfId="1" applyAlignment="1"/>
    <xf numFmtId="0" fontId="5" fillId="0" borderId="2" xfId="0" applyFont="1" applyBorder="1"/>
    <xf numFmtId="10" fontId="5" fillId="0" borderId="2" xfId="0" applyNumberFormat="1" applyFont="1" applyBorder="1"/>
    <xf numFmtId="0" fontId="1" fillId="0" borderId="2" xfId="0" applyFont="1" applyBorder="1" applyAlignment="1">
      <alignment horizontal="left" indent="1"/>
    </xf>
    <xf numFmtId="10" fontId="1" fillId="0" borderId="2" xfId="0" applyNumberFormat="1" applyFont="1" applyBorder="1"/>
    <xf numFmtId="0" fontId="1" fillId="0" borderId="0" xfId="0" applyFont="1"/>
    <xf numFmtId="165" fontId="0" fillId="0" borderId="0" xfId="0" applyNumberFormat="1"/>
    <xf numFmtId="0" fontId="5" fillId="0" borderId="0" xfId="0" applyFont="1"/>
    <xf numFmtId="165" fontId="2" fillId="2" borderId="3" xfId="0" applyNumberFormat="1" applyFont="1" applyFill="1" applyBorder="1"/>
    <xf numFmtId="1" fontId="1" fillId="0" borderId="0" xfId="0" applyNumberFormat="1" applyFont="1"/>
    <xf numFmtId="10" fontId="1" fillId="0" borderId="0" xfId="0" applyNumberFormat="1" applyFont="1"/>
    <xf numFmtId="17" fontId="5" fillId="0" borderId="0" xfId="0" applyNumberFormat="1" applyFont="1"/>
    <xf numFmtId="164" fontId="2" fillId="2" borderId="3" xfId="0" applyNumberFormat="1" applyFont="1" applyFill="1" applyBorder="1"/>
    <xf numFmtId="0" fontId="0" fillId="3" borderId="0" xfId="0" applyFill="1"/>
    <xf numFmtId="0" fontId="7" fillId="3" borderId="0" xfId="0" applyFont="1" applyFill="1"/>
    <xf numFmtId="0" fontId="8" fillId="0" borderId="0" xfId="0" applyFont="1"/>
    <xf numFmtId="0" fontId="9" fillId="0" borderId="0" xfId="0" applyFont="1"/>
    <xf numFmtId="0" fontId="10" fillId="0" borderId="0" xfId="0" applyFont="1"/>
    <xf numFmtId="0" fontId="11" fillId="0" borderId="0" xfId="0" applyFont="1" applyAlignment="1">
      <alignment wrapText="1"/>
    </xf>
    <xf numFmtId="17" fontId="10" fillId="0" borderId="1" xfId="0" applyNumberFormat="1" applyFont="1" applyBorder="1"/>
    <xf numFmtId="17" fontId="10" fillId="0" borderId="2" xfId="0" applyNumberFormat="1" applyFont="1" applyBorder="1"/>
    <xf numFmtId="0" fontId="10" fillId="0" borderId="5" xfId="0" applyFont="1" applyBorder="1"/>
    <xf numFmtId="0" fontId="11" fillId="0" borderId="5" xfId="0" applyFont="1" applyBorder="1" applyAlignment="1">
      <alignment wrapText="1"/>
    </xf>
    <xf numFmtId="0" fontId="6" fillId="0" borderId="0" xfId="0" applyFont="1"/>
    <xf numFmtId="10" fontId="10" fillId="0" borderId="1" xfId="0" applyNumberFormat="1" applyFont="1" applyBorder="1"/>
    <xf numFmtId="10" fontId="10" fillId="0" borderId="2" xfId="0" applyNumberFormat="1" applyFont="1" applyBorder="1"/>
    <xf numFmtId="0" fontId="12" fillId="0" borderId="0" xfId="0" applyFont="1"/>
    <xf numFmtId="0" fontId="10"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horizontal="right" vertical="center"/>
    </xf>
    <xf numFmtId="3" fontId="2" fillId="0" borderId="0" xfId="0" applyNumberFormat="1" applyFont="1" applyAlignment="1">
      <alignment vertical="center"/>
    </xf>
    <xf numFmtId="0" fontId="13" fillId="0" borderId="0" xfId="0" applyFont="1"/>
    <xf numFmtId="0" fontId="10" fillId="0" borderId="5" xfId="0" applyFont="1" applyBorder="1" applyAlignment="1">
      <alignment wrapText="1"/>
    </xf>
    <xf numFmtId="0" fontId="10" fillId="0" borderId="0" xfId="0" applyFont="1" applyAlignment="1">
      <alignment wrapText="1"/>
    </xf>
    <xf numFmtId="0" fontId="0" fillId="0" borderId="0" xfId="0" applyAlignment="1">
      <alignment wrapText="1"/>
    </xf>
    <xf numFmtId="1" fontId="0" fillId="0" borderId="4" xfId="0" applyNumberFormat="1" applyBorder="1"/>
    <xf numFmtId="10" fontId="0" fillId="0" borderId="4" xfId="0" applyNumberFormat="1" applyBorder="1"/>
    <xf numFmtId="3" fontId="0" fillId="0" borderId="4" xfId="0" applyNumberFormat="1" applyBorder="1"/>
    <xf numFmtId="3" fontId="0" fillId="0" borderId="0" xfId="0" applyNumberFormat="1"/>
    <xf numFmtId="17" fontId="0" fillId="0" borderId="0" xfId="0" applyNumberFormat="1"/>
    <xf numFmtId="0" fontId="0" fillId="0" borderId="0" xfId="0" applyAlignment="1">
      <alignment horizontal="left"/>
    </xf>
    <xf numFmtId="10" fontId="0" fillId="0" borderId="0" xfId="0" applyNumberFormat="1"/>
    <xf numFmtId="1" fontId="0" fillId="0" borderId="0" xfId="0" applyNumberFormat="1"/>
    <xf numFmtId="168" fontId="0" fillId="0" borderId="0" xfId="0" applyNumberFormat="1"/>
    <xf numFmtId="166" fontId="0" fillId="0" borderId="0" xfId="0" applyNumberFormat="1"/>
    <xf numFmtId="0" fontId="0" fillId="5" borderId="0" xfId="0" applyFill="1"/>
    <xf numFmtId="0" fontId="5" fillId="5" borderId="0" xfId="0" applyFont="1" applyFill="1"/>
    <xf numFmtId="0" fontId="14" fillId="0" borderId="0" xfId="0" applyFont="1"/>
    <xf numFmtId="3" fontId="15" fillId="0" borderId="0" xfId="0" applyNumberFormat="1" applyFont="1"/>
    <xf numFmtId="3" fontId="2" fillId="0" borderId="0" xfId="0" applyNumberFormat="1" applyFont="1"/>
    <xf numFmtId="169" fontId="2" fillId="0" borderId="0" xfId="0" applyNumberFormat="1" applyFont="1"/>
    <xf numFmtId="0" fontId="16" fillId="0" borderId="0" xfId="0" applyFont="1"/>
    <xf numFmtId="17" fontId="6" fillId="0" borderId="0" xfId="0" quotePrefix="1" applyNumberFormat="1" applyFont="1"/>
    <xf numFmtId="0" fontId="6" fillId="0" borderId="0" xfId="0" quotePrefix="1" applyFont="1"/>
    <xf numFmtId="0" fontId="15" fillId="0" borderId="0" xfId="0" applyFont="1"/>
    <xf numFmtId="168" fontId="0" fillId="0" borderId="4" xfId="0" applyNumberFormat="1" applyBorder="1"/>
    <xf numFmtId="169" fontId="0" fillId="0" borderId="4" xfId="0" applyNumberFormat="1" applyBorder="1"/>
    <xf numFmtId="164" fontId="2" fillId="0" borderId="0" xfId="0" applyNumberFormat="1" applyFont="1" applyAlignment="1">
      <alignment vertical="center"/>
    </xf>
    <xf numFmtId="166" fontId="2" fillId="0" borderId="6" xfId="0" applyNumberFormat="1" applyFont="1" applyBorder="1" applyAlignment="1">
      <alignment horizontal="right" vertical="center"/>
    </xf>
    <xf numFmtId="165" fontId="2" fillId="4" borderId="6" xfId="0" applyNumberFormat="1" applyFont="1" applyFill="1" applyBorder="1" applyAlignment="1" applyProtection="1">
      <alignment vertical="center"/>
      <protection locked="0"/>
    </xf>
    <xf numFmtId="3" fontId="2" fillId="4" borderId="6" xfId="0" applyNumberFormat="1" applyFont="1" applyFill="1" applyBorder="1" applyAlignment="1" applyProtection="1">
      <alignment vertical="center"/>
      <protection locked="0"/>
    </xf>
    <xf numFmtId="165" fontId="2" fillId="4" borderId="6" xfId="0" applyNumberFormat="1" applyFont="1" applyFill="1" applyBorder="1" applyAlignment="1" applyProtection="1">
      <alignment horizontal="right" vertical="center"/>
      <protection locked="0"/>
    </xf>
    <xf numFmtId="167" fontId="2" fillId="4" borderId="6" xfId="0" applyNumberFormat="1" applyFont="1" applyFill="1" applyBorder="1" applyAlignment="1" applyProtection="1">
      <alignment horizontal="right" vertical="center"/>
      <protection locked="0"/>
    </xf>
    <xf numFmtId="3" fontId="2" fillId="0" borderId="6" xfId="0" applyNumberFormat="1" applyFont="1" applyBorder="1" applyAlignment="1">
      <alignment horizontal="right" vertical="center"/>
    </xf>
    <xf numFmtId="17" fontId="10" fillId="0" borderId="1" xfId="0" applyNumberFormat="1" applyFont="1" applyBorder="1" applyAlignment="1">
      <alignment horizontal="left"/>
    </xf>
    <xf numFmtId="164" fontId="11" fillId="0" borderId="1" xfId="0" applyNumberFormat="1" applyFont="1" applyBorder="1" applyAlignment="1">
      <alignment horizontal="left"/>
    </xf>
    <xf numFmtId="164" fontId="10" fillId="0" borderId="1" xfId="0" applyNumberFormat="1" applyFont="1" applyBorder="1" applyAlignment="1">
      <alignment horizontal="left"/>
    </xf>
    <xf numFmtId="17" fontId="10" fillId="0" borderId="2" xfId="0" applyNumberFormat="1" applyFont="1" applyBorder="1" applyAlignment="1">
      <alignment horizontal="left"/>
    </xf>
    <xf numFmtId="164" fontId="11" fillId="0" borderId="2" xfId="0" applyNumberFormat="1" applyFont="1" applyBorder="1" applyAlignment="1">
      <alignment horizontal="left"/>
    </xf>
    <xf numFmtId="164" fontId="10" fillId="0" borderId="2" xfId="0" applyNumberFormat="1" applyFont="1" applyBorder="1" applyAlignment="1">
      <alignment horizontal="left"/>
    </xf>
    <xf numFmtId="0" fontId="17" fillId="0" borderId="0" xfId="0" applyFont="1"/>
    <xf numFmtId="169" fontId="2" fillId="0" borderId="6" xfId="0" applyNumberFormat="1" applyFont="1" applyBorder="1" applyAlignment="1">
      <alignment horizontal="right" vertical="center"/>
    </xf>
    <xf numFmtId="164" fontId="2" fillId="0" borderId="0" xfId="0" applyNumberFormat="1" applyFont="1" applyAlignment="1">
      <alignment horizontal="right" vertical="center"/>
    </xf>
    <xf numFmtId="0" fontId="0" fillId="0" borderId="0" xfId="0" applyAlignment="1">
      <alignment horizontal="right"/>
    </xf>
    <xf numFmtId="0" fontId="2" fillId="0" borderId="0" xfId="0" applyFont="1" applyAlignment="1">
      <alignment horizontal="right"/>
    </xf>
    <xf numFmtId="3" fontId="2" fillId="0" borderId="0" xfId="0" applyNumberFormat="1" applyFont="1" applyAlignment="1">
      <alignment horizontal="right" vertical="center"/>
    </xf>
    <xf numFmtId="0" fontId="10" fillId="0" borderId="0" xfId="0" quotePrefix="1" applyFont="1" applyAlignment="1">
      <alignment vertical="center"/>
    </xf>
    <xf numFmtId="3" fontId="18" fillId="0" borderId="0" xfId="0" applyNumberFormat="1" applyFont="1" applyAlignment="1">
      <alignment vertical="center"/>
    </xf>
    <xf numFmtId="1" fontId="2" fillId="2" borderId="3" xfId="0" applyNumberFormat="1" applyFont="1" applyFill="1" applyBorder="1"/>
    <xf numFmtId="164" fontId="0" fillId="0" borderId="0" xfId="0" applyNumberFormat="1"/>
    <xf numFmtId="0" fontId="10" fillId="0" borderId="0" xfId="0" applyFont="1" applyAlignment="1">
      <alignment wrapText="1"/>
    </xf>
    <xf numFmtId="0" fontId="0" fillId="0" borderId="0" xfId="0" applyAlignment="1">
      <alignment wrapText="1"/>
    </xf>
    <xf numFmtId="0" fontId="15" fillId="0" borderId="0" xfId="0" applyFont="1" applyAlignment="1">
      <alignment wrapText="1"/>
    </xf>
    <xf numFmtId="0" fontId="10" fillId="0" borderId="0" xfId="0" quotePrefix="1" applyFont="1" applyAlignment="1">
      <alignment wrapText="1"/>
    </xf>
    <xf numFmtId="0" fontId="6" fillId="0" borderId="0" xfId="0" applyFont="1" applyAlignment="1">
      <alignment wrapText="1"/>
    </xf>
    <xf numFmtId="0" fontId="0" fillId="6" borderId="0" xfId="0" applyFill="1"/>
  </cellXfs>
  <cellStyles count="2">
    <cellStyle name="Hyperlink" xfId="1" builtinId="8"/>
    <cellStyle name="Standaard" xfId="0" builtinId="0"/>
  </cellStyles>
  <dxfs count="20">
    <dxf>
      <font>
        <color theme="0"/>
      </font>
    </dxf>
    <dxf>
      <font>
        <color theme="0"/>
      </font>
    </dxf>
    <dxf>
      <font>
        <color theme="0"/>
      </font>
    </dxf>
    <dxf>
      <font>
        <color theme="0"/>
      </font>
    </dxf>
    <dxf>
      <font>
        <color theme="0"/>
      </font>
    </dxf>
    <dxf>
      <font>
        <color theme="0"/>
      </font>
    </dxf>
    <dxf>
      <font>
        <b/>
        <i val="0"/>
        <color rgb="FFFF0000"/>
      </font>
    </dxf>
    <dxf>
      <font>
        <color theme="0"/>
      </font>
    </dxf>
    <dxf>
      <font>
        <color theme="0"/>
      </font>
    </dxf>
    <dxf>
      <font>
        <color theme="0"/>
      </font>
    </dxf>
    <dxf>
      <font>
        <color theme="0"/>
      </font>
      <fill>
        <patternFill>
          <bgColor theme="0"/>
        </patternFill>
      </fill>
      <border>
        <left/>
        <right/>
        <top/>
        <bottom/>
        <vertical/>
        <horizontal/>
      </border>
    </dxf>
    <dxf>
      <font>
        <b/>
        <i val="0"/>
        <color rgb="FFFF0000"/>
      </font>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dxf>
    <dxf>
      <font>
        <b/>
        <i val="0"/>
        <color rgb="FFFF0000"/>
      </font>
    </dxf>
    <dxf>
      <font>
        <color theme="0"/>
      </font>
    </dxf>
  </dxfs>
  <tableStyles count="0" defaultTableStyle="TableStyleMedium2" defaultPivotStyle="PivotStyleLight16"/>
  <colors>
    <mruColors>
      <color rgb="FF009B48"/>
      <color rgb="FF333333"/>
      <color rgb="FFE7F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vlaio.be/energiesteun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reg.be/nl/professionals/marktwerking-en-monitoring/boordtabe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reg.be/nl/document/besl-2021-31" TargetMode="External"/><Relationship Id="rId1" Type="http://schemas.openxmlformats.org/officeDocument/2006/relationships/hyperlink" Target="https://www.vreg.be/nl/document/besl-2020-87"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35F75-9DF3-4AD0-B24E-A0F2E782B18D}">
  <dimension ref="B1:XFC49"/>
  <sheetViews>
    <sheetView showGridLines="0" showRowColHeaders="0" zoomScale="110" zoomScaleNormal="110" zoomScaleSheetLayoutView="110" workbookViewId="0">
      <selection activeCell="I15" sqref="I15"/>
    </sheetView>
  </sheetViews>
  <sheetFormatPr defaultColWidth="0" defaultRowHeight="14.5"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9" width="15.81640625" customWidth="1"/>
    <col min="10" max="10" width="4.453125" hidden="1" customWidth="1"/>
    <col min="11" max="11" width="2.81640625" hidden="1" customWidth="1"/>
    <col min="12" max="16383" width="8.7265625" hidden="1"/>
    <col min="16384" max="16384" width="0.7265625" customWidth="1"/>
  </cols>
  <sheetData>
    <row r="1" spans="2:9" s="19" customFormat="1" x14ac:dyDescent="0.35"/>
    <row r="2" spans="2:9" s="20" customFormat="1" ht="21" x14ac:dyDescent="0.5">
      <c r="B2" s="20" t="s">
        <v>0</v>
      </c>
    </row>
    <row r="3" spans="2:9" s="19" customFormat="1" x14ac:dyDescent="0.35"/>
    <row r="4" spans="2:9" x14ac:dyDescent="0.35"/>
    <row r="5" spans="2:9" x14ac:dyDescent="0.35"/>
    <row r="6" spans="2:9" ht="26" x14ac:dyDescent="0.6">
      <c r="B6" s="21" t="s">
        <v>1</v>
      </c>
    </row>
    <row r="7" spans="2:9" x14ac:dyDescent="0.35"/>
    <row r="8" spans="2:9" x14ac:dyDescent="0.35"/>
    <row r="9" spans="2:9" ht="15.5" x14ac:dyDescent="0.35">
      <c r="B9" s="32" t="s">
        <v>2</v>
      </c>
    </row>
    <row r="10" spans="2:9" ht="5.15" customHeight="1" x14ac:dyDescent="0.35"/>
    <row r="11" spans="2:9" s="23" customFormat="1" ht="44.15" customHeight="1" x14ac:dyDescent="0.35">
      <c r="B11" s="89" t="s">
        <v>3</v>
      </c>
      <c r="C11" s="89"/>
      <c r="D11" s="89"/>
      <c r="E11" s="89"/>
      <c r="F11" s="89"/>
      <c r="G11" s="89"/>
      <c r="H11" s="89"/>
      <c r="I11" s="89"/>
    </row>
    <row r="12" spans="2:9" s="23" customFormat="1" ht="18" customHeight="1" x14ac:dyDescent="0.35">
      <c r="B12" s="87" t="s">
        <v>531</v>
      </c>
      <c r="C12" s="87"/>
      <c r="D12" s="87"/>
      <c r="E12" s="87"/>
      <c r="F12" s="87"/>
      <c r="G12" s="88"/>
      <c r="H12" s="88"/>
      <c r="I12" s="88"/>
    </row>
    <row r="13" spans="2:9" x14ac:dyDescent="0.35">
      <c r="B13" s="3" t="s">
        <v>532</v>
      </c>
    </row>
    <row r="14" spans="2:9" x14ac:dyDescent="0.35">
      <c r="C14" s="13" t="str">
        <f>'Berekening gas'!C28</f>
        <v/>
      </c>
      <c r="D14" s="13"/>
      <c r="F14" s="13"/>
      <c r="H14" s="13"/>
    </row>
    <row r="15" spans="2:9" ht="15.5" x14ac:dyDescent="0.35">
      <c r="B15" s="32" t="s">
        <v>4</v>
      </c>
    </row>
    <row r="16" spans="2:9" ht="5.15" customHeight="1" x14ac:dyDescent="0.35"/>
    <row r="17" spans="2:9" s="23" customFormat="1" ht="44.15" customHeight="1" x14ac:dyDescent="0.35">
      <c r="B17" s="87" t="s">
        <v>5</v>
      </c>
      <c r="C17" s="87"/>
      <c r="D17" s="87"/>
      <c r="E17" s="87"/>
      <c r="F17" s="87"/>
      <c r="G17" s="88"/>
      <c r="H17" s="88"/>
      <c r="I17" s="88"/>
    </row>
    <row r="18" spans="2:9" x14ac:dyDescent="0.35">
      <c r="C18" s="13"/>
      <c r="D18" s="13"/>
      <c r="F18" s="13"/>
      <c r="H18" s="13"/>
    </row>
    <row r="19" spans="2:9" ht="15.5" x14ac:dyDescent="0.35">
      <c r="B19" s="32" t="s">
        <v>6</v>
      </c>
    </row>
    <row r="20" spans="2:9" ht="5.15" customHeight="1" x14ac:dyDescent="0.35"/>
    <row r="21" spans="2:9" s="23" customFormat="1" ht="76" customHeight="1" x14ac:dyDescent="0.35">
      <c r="B21" s="87" t="s">
        <v>7</v>
      </c>
      <c r="C21" s="87"/>
      <c r="D21" s="87"/>
      <c r="E21" s="87"/>
      <c r="F21" s="87"/>
      <c r="G21" s="88"/>
      <c r="H21" s="88"/>
      <c r="I21" s="88"/>
    </row>
    <row r="22" spans="2:9" s="23" customFormat="1" ht="77.25" customHeight="1" x14ac:dyDescent="0.35">
      <c r="B22" s="87" t="s">
        <v>8</v>
      </c>
      <c r="C22" s="87"/>
      <c r="D22" s="87"/>
      <c r="E22" s="87"/>
      <c r="F22" s="87"/>
      <c r="G22" s="88"/>
      <c r="H22" s="88"/>
      <c r="I22" s="88"/>
    </row>
    <row r="23" spans="2:9" s="23" customFormat="1" ht="35.15" customHeight="1" x14ac:dyDescent="0.35">
      <c r="B23" s="87" t="s">
        <v>9</v>
      </c>
      <c r="C23" s="87"/>
      <c r="D23" s="87"/>
      <c r="E23" s="87"/>
      <c r="F23" s="87"/>
      <c r="G23" s="88"/>
      <c r="H23" s="88"/>
      <c r="I23" s="88"/>
    </row>
    <row r="24" spans="2:9" s="23" customFormat="1" ht="13.5" customHeight="1" x14ac:dyDescent="0.35">
      <c r="B24" s="40"/>
      <c r="C24" s="40"/>
      <c r="D24" s="40"/>
      <c r="E24" s="40"/>
      <c r="F24" s="40"/>
      <c r="G24" s="41"/>
      <c r="H24" s="41"/>
      <c r="I24" s="41"/>
    </row>
    <row r="25" spans="2:9" s="23" customFormat="1" ht="46" customHeight="1" x14ac:dyDescent="0.35">
      <c r="B25"/>
      <c r="C25"/>
      <c r="D25"/>
      <c r="E25"/>
      <c r="F25"/>
      <c r="G25"/>
      <c r="H25"/>
      <c r="I25"/>
    </row>
    <row r="26" spans="2:9" x14ac:dyDescent="0.35">
      <c r="C26" s="13"/>
    </row>
    <row r="27" spans="2:9" x14ac:dyDescent="0.35">
      <c r="E27" s="12"/>
    </row>
    <row r="28" spans="2:9" x14ac:dyDescent="0.35"/>
    <row r="29" spans="2:9" x14ac:dyDescent="0.35"/>
    <row r="31" spans="2:9" x14ac:dyDescent="0.35"/>
    <row r="32" spans="2:9" x14ac:dyDescent="0.35"/>
    <row r="33" x14ac:dyDescent="0.35"/>
    <row r="34" x14ac:dyDescent="0.35"/>
    <row r="35" x14ac:dyDescent="0.35"/>
    <row r="36" x14ac:dyDescent="0.35"/>
    <row r="37" x14ac:dyDescent="0.35"/>
    <row r="39" x14ac:dyDescent="0.35"/>
    <row r="40" x14ac:dyDescent="0.35"/>
    <row r="41" x14ac:dyDescent="0.35"/>
    <row r="42" x14ac:dyDescent="0.35"/>
    <row r="43" x14ac:dyDescent="0.35"/>
    <row r="44" x14ac:dyDescent="0.35"/>
    <row r="45" x14ac:dyDescent="0.35"/>
    <row r="46" x14ac:dyDescent="0.35"/>
    <row r="48" x14ac:dyDescent="0.35"/>
    <row r="49" x14ac:dyDescent="0.35"/>
  </sheetData>
  <sheetProtection algorithmName="SHA-512" hashValue="M0sHteCzGyRjm6Amo/8FOxB1lM6T4FpKROEgMDExSprx8jwi82soWKiIdljHH2fGxwPU3BUWOjvc9SlxWHkKfg==" saltValue="HtAKxBUU1D0R5UtOaJbM0g==" spinCount="100000" sheet="1" objects="1" scenarios="1"/>
  <mergeCells count="6">
    <mergeCell ref="B23:I23"/>
    <mergeCell ref="B11:I11"/>
    <mergeCell ref="B12:I12"/>
    <mergeCell ref="B22:I22"/>
    <mergeCell ref="B17:I17"/>
    <mergeCell ref="B21:I21"/>
  </mergeCells>
  <hyperlinks>
    <hyperlink ref="B13" r:id="rId1" xr:uid="{B90BB29C-3739-4AE5-89D9-E04F7BEE3109}"/>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E8B7-A919-4B09-A784-E5B56D061DDB}">
  <sheetPr>
    <tabColor rgb="FFFF0000"/>
  </sheetPr>
  <dimension ref="B1:AX83"/>
  <sheetViews>
    <sheetView topLeftCell="M9" workbookViewId="0">
      <selection activeCell="AS53" sqref="AS53"/>
    </sheetView>
  </sheetViews>
  <sheetFormatPr defaultRowHeight="14.5" x14ac:dyDescent="0.35"/>
  <cols>
    <col min="1" max="1" width="3.7265625" customWidth="1"/>
    <col min="2" max="2" width="10.54296875" customWidth="1"/>
    <col min="3" max="3" width="15.81640625" customWidth="1"/>
    <col min="4" max="4" width="3.7265625" customWidth="1"/>
    <col min="5" max="5" width="15.81640625" customWidth="1"/>
    <col min="6" max="6" width="3.7265625" customWidth="1"/>
    <col min="7" max="7" width="15.81640625" customWidth="1"/>
    <col min="8" max="8" width="3.7265625" customWidth="1"/>
    <col min="9" max="13" width="15.81640625" customWidth="1"/>
    <col min="14" max="14" width="2.81640625" customWidth="1"/>
    <col min="15" max="16" width="9.1796875" style="11"/>
    <col min="17" max="17" width="5" style="11" bestFit="1" customWidth="1"/>
    <col min="18" max="18" width="14" style="11" bestFit="1" customWidth="1"/>
    <col min="19" max="19" width="6.26953125" style="11" bestFit="1" customWidth="1"/>
    <col min="20" max="20" width="9.1796875" style="11"/>
    <col min="21" max="21" width="9.453125" style="11" bestFit="1" customWidth="1"/>
    <col min="22" max="22" width="9.453125" style="11" customWidth="1"/>
    <col min="23" max="23" width="9.1796875" style="11"/>
    <col min="24" max="24" width="3.81640625" customWidth="1"/>
    <col min="25" max="27" width="9.1796875" style="11"/>
    <col min="28" max="28" width="10.54296875" bestFit="1" customWidth="1"/>
    <col min="29" max="29" width="3.81640625" customWidth="1"/>
    <col min="30" max="32" width="9.1796875" style="11"/>
    <col min="33" max="33" width="10.54296875" bestFit="1" customWidth="1"/>
    <col min="34" max="34" width="3.81640625" customWidth="1"/>
    <col min="35" max="37" width="9.1796875" style="11"/>
    <col min="38" max="38" width="10.54296875" bestFit="1" customWidth="1"/>
    <col min="39" max="39" width="3.81640625" customWidth="1"/>
    <col min="41" max="41" width="9.1796875" style="11"/>
    <col min="43" max="43" width="10.54296875" bestFit="1" customWidth="1"/>
    <col min="44" max="44" width="3.81640625" customWidth="1"/>
    <col min="47" max="47" width="11.7265625" bestFit="1" customWidth="1"/>
  </cols>
  <sheetData>
    <row r="1" spans="2:41" s="19" customFormat="1" x14ac:dyDescent="0.35"/>
    <row r="2" spans="2:41" s="20" customFormat="1" ht="21" x14ac:dyDescent="0.5">
      <c r="B2" s="20" t="s">
        <v>0</v>
      </c>
    </row>
    <row r="3" spans="2:41" s="19" customFormat="1" x14ac:dyDescent="0.35"/>
    <row r="5" spans="2:41" ht="26" x14ac:dyDescent="0.6">
      <c r="B5" s="21" t="s">
        <v>486</v>
      </c>
      <c r="O5"/>
      <c r="R5"/>
      <c r="S5"/>
      <c r="T5"/>
      <c r="U5"/>
      <c r="V5"/>
      <c r="W5"/>
      <c r="Y5"/>
      <c r="Z5"/>
      <c r="AA5"/>
      <c r="AD5"/>
      <c r="AE5"/>
      <c r="AF5"/>
      <c r="AI5"/>
      <c r="AJ5"/>
      <c r="AK5"/>
      <c r="AO5"/>
    </row>
    <row r="7" spans="2:41" x14ac:dyDescent="0.35">
      <c r="B7" s="2" t="s">
        <v>487</v>
      </c>
    </row>
    <row r="8" spans="2:41" x14ac:dyDescent="0.35">
      <c r="B8" s="38" t="s">
        <v>488</v>
      </c>
    </row>
    <row r="9" spans="2:41" x14ac:dyDescent="0.35">
      <c r="B9" s="38" t="s">
        <v>489</v>
      </c>
    </row>
    <row r="10" spans="2:41" x14ac:dyDescent="0.35">
      <c r="B10" s="2"/>
    </row>
    <row r="11" spans="2:41" x14ac:dyDescent="0.35">
      <c r="B11" s="2" t="s">
        <v>490</v>
      </c>
    </row>
    <row r="12" spans="2:41" ht="5.15" customHeight="1" thickBot="1" x14ac:dyDescent="0.4"/>
    <row r="13" spans="2:41" ht="15" customHeight="1" thickBot="1" x14ac:dyDescent="0.4">
      <c r="B13" t="s">
        <v>14</v>
      </c>
      <c r="G13" s="14">
        <f>'Invoer elektriciteit'!G18</f>
        <v>0</v>
      </c>
      <c r="P13" t="s">
        <v>491</v>
      </c>
      <c r="Q13"/>
      <c r="R13"/>
      <c r="S13"/>
      <c r="T13"/>
      <c r="U13" s="42">
        <f>_xlfn.DAYS(G13,DATE(YEAR(G13),1,1))+1</f>
        <v>0</v>
      </c>
      <c r="V13" s="49"/>
      <c r="W13"/>
      <c r="Y13" t="s">
        <v>492</v>
      </c>
      <c r="Z13"/>
      <c r="AA13"/>
      <c r="AB13" s="43" t="e">
        <f>VLOOKUP(U13,SLP!C$3:E$368,2,0)</f>
        <v>#N/A</v>
      </c>
      <c r="AE13"/>
      <c r="AJ13"/>
      <c r="AO13"/>
    </row>
    <row r="14" spans="2:41" ht="15" customHeight="1" thickBot="1" x14ac:dyDescent="0.4">
      <c r="B14" t="s">
        <v>15</v>
      </c>
      <c r="G14" s="14">
        <f>'Invoer elektriciteit'!G19</f>
        <v>0</v>
      </c>
      <c r="P14" t="s">
        <v>493</v>
      </c>
      <c r="Q14"/>
      <c r="R14"/>
      <c r="S14"/>
      <c r="T14"/>
      <c r="U14" s="42">
        <f>_xlfn.DAYS(G14,DATE(YEAR(G14),1,1))+1</f>
        <v>0</v>
      </c>
      <c r="V14" s="49"/>
      <c r="W14"/>
      <c r="Y14" t="s">
        <v>492</v>
      </c>
      <c r="Z14"/>
      <c r="AA14"/>
      <c r="AB14" s="43" t="e">
        <f>VLOOKUP(U14,SLP!C$3:E$367,2,0)</f>
        <v>#N/A</v>
      </c>
      <c r="AE14"/>
      <c r="AJ14"/>
      <c r="AO14"/>
    </row>
    <row r="15" spans="2:41" ht="15" customHeight="1" thickBot="1" x14ac:dyDescent="0.4">
      <c r="B15" t="s">
        <v>16</v>
      </c>
      <c r="G15" s="45">
        <f>'Invoer elektriciteit'!G20</f>
        <v>0</v>
      </c>
      <c r="I15" s="13"/>
      <c r="J15" s="13"/>
      <c r="K15" s="13"/>
      <c r="L15" s="13"/>
      <c r="M15" s="13"/>
    </row>
    <row r="16" spans="2:41" ht="15" customHeight="1" thickBot="1" x14ac:dyDescent="0.4">
      <c r="B16" t="s">
        <v>37</v>
      </c>
      <c r="G16" s="85">
        <f>'Invoer elektriciteit'!G22</f>
        <v>0</v>
      </c>
      <c r="I16" s="13"/>
      <c r="J16" s="13"/>
      <c r="K16" s="13"/>
      <c r="L16" s="13"/>
      <c r="M16" s="13"/>
    </row>
    <row r="17" spans="2:49" ht="15" customHeight="1" thickBot="1" x14ac:dyDescent="0.4">
      <c r="B17" t="s">
        <v>38</v>
      </c>
      <c r="G17" s="85">
        <f>'Invoer elektriciteit'!G23</f>
        <v>0</v>
      </c>
      <c r="I17" s="13"/>
      <c r="J17" s="13"/>
      <c r="K17" s="13"/>
      <c r="L17" s="13"/>
      <c r="M17" s="13"/>
    </row>
    <row r="18" spans="2:49" ht="15" customHeight="1" thickBot="1" x14ac:dyDescent="0.4">
      <c r="B18" t="s">
        <v>39</v>
      </c>
      <c r="G18" s="85">
        <f>'Invoer elektriciteit'!G24</f>
        <v>0</v>
      </c>
      <c r="I18" s="13"/>
      <c r="J18" s="13"/>
      <c r="K18" s="13"/>
      <c r="L18" s="13"/>
      <c r="M18" s="13"/>
    </row>
    <row r="19" spans="2:49" ht="15" customHeight="1" thickBot="1" x14ac:dyDescent="0.4">
      <c r="B19" t="s">
        <v>528</v>
      </c>
      <c r="G19" s="85">
        <f>'Invoer elektriciteit'!G25</f>
        <v>0</v>
      </c>
      <c r="I19" s="13"/>
      <c r="J19" s="13"/>
      <c r="K19" s="13"/>
      <c r="L19" s="13"/>
      <c r="M19" s="13"/>
    </row>
    <row r="20" spans="2:49" ht="15" customHeight="1" x14ac:dyDescent="0.35">
      <c r="B20" t="s">
        <v>17</v>
      </c>
      <c r="G20" s="45">
        <f>'Invoer elektriciteit'!G21</f>
        <v>0</v>
      </c>
      <c r="P20" t="s">
        <v>494</v>
      </c>
      <c r="Q20"/>
      <c r="R20"/>
      <c r="S20"/>
      <c r="T20"/>
      <c r="U20" s="43" t="e">
        <f>YEAR(G14)-YEAR(G13)+AB14-AB13</f>
        <v>#N/A</v>
      </c>
      <c r="V20" s="48"/>
    </row>
    <row r="21" spans="2:49" x14ac:dyDescent="0.35">
      <c r="P21" t="s">
        <v>495</v>
      </c>
      <c r="Q21"/>
      <c r="R21"/>
      <c r="S21"/>
      <c r="T21"/>
      <c r="U21" s="44" t="e">
        <f>G20/U20</f>
        <v>#N/A</v>
      </c>
      <c r="V21" t="s">
        <v>496</v>
      </c>
    </row>
    <row r="22" spans="2:49" x14ac:dyDescent="0.35">
      <c r="C22" s="53" t="str">
        <f>IF(G15&lt;180,"Opgelet, de opnameperiode bedraagt minder dan 180 dagen.","")</f>
        <v>Opgelet, de opnameperiode bedraagt minder dan 180 dagen.</v>
      </c>
      <c r="D22" s="52"/>
      <c r="E22" s="52"/>
      <c r="F22" s="52"/>
      <c r="G22" s="52"/>
      <c r="H22" s="52"/>
      <c r="I22" s="52"/>
      <c r="J22" s="52"/>
      <c r="K22" s="52"/>
      <c r="L22" s="52"/>
      <c r="M22" s="52"/>
      <c r="P22"/>
      <c r="Q22"/>
      <c r="R22"/>
      <c r="S22"/>
      <c r="T22"/>
      <c r="U22" s="45"/>
      <c r="V22" s="45"/>
      <c r="W22"/>
    </row>
    <row r="23" spans="2:49" x14ac:dyDescent="0.35">
      <c r="Q23" s="2" t="s">
        <v>497</v>
      </c>
      <c r="R23" s="2" t="s">
        <v>498</v>
      </c>
      <c r="S23" s="2" t="s">
        <v>499</v>
      </c>
      <c r="T23" s="2" t="s">
        <v>500</v>
      </c>
      <c r="U23" s="2" t="s">
        <v>501</v>
      </c>
      <c r="V23" s="2" t="s">
        <v>501</v>
      </c>
      <c r="W23" s="2" t="s">
        <v>502</v>
      </c>
      <c r="Y23" s="2" t="s">
        <v>26</v>
      </c>
      <c r="Z23" s="2"/>
      <c r="AA23"/>
      <c r="AD23" s="2" t="s">
        <v>27</v>
      </c>
      <c r="AE23" s="2"/>
      <c r="AF23"/>
      <c r="AI23" s="2" t="s">
        <v>28</v>
      </c>
      <c r="AJ23" s="2"/>
      <c r="AK23"/>
      <c r="AN23" s="2" t="s">
        <v>29</v>
      </c>
      <c r="AO23" s="2"/>
      <c r="AS23" s="2" t="s">
        <v>63</v>
      </c>
      <c r="AT23" s="2" t="s">
        <v>63</v>
      </c>
      <c r="AU23" s="2" t="s">
        <v>63</v>
      </c>
      <c r="AV23" s="2" t="s">
        <v>503</v>
      </c>
      <c r="AW23" s="2" t="s">
        <v>504</v>
      </c>
    </row>
    <row r="24" spans="2:49" x14ac:dyDescent="0.35">
      <c r="C24" s="2" t="s">
        <v>20</v>
      </c>
      <c r="E24" s="2" t="s">
        <v>21</v>
      </c>
      <c r="G24" s="2" t="s">
        <v>22</v>
      </c>
      <c r="I24" s="2" t="s">
        <v>45</v>
      </c>
      <c r="J24" s="2"/>
      <c r="K24" s="2"/>
      <c r="L24" s="2"/>
      <c r="M24" s="2"/>
      <c r="T24" t="s">
        <v>505</v>
      </c>
      <c r="U24" t="s">
        <v>506</v>
      </c>
      <c r="V24" t="s">
        <v>529</v>
      </c>
      <c r="W24" t="s">
        <v>508</v>
      </c>
      <c r="Y24" t="s">
        <v>509</v>
      </c>
      <c r="Z24" t="s">
        <v>510</v>
      </c>
      <c r="AA24" t="s">
        <v>511</v>
      </c>
      <c r="AB24" t="s">
        <v>512</v>
      </c>
      <c r="AD24" t="s">
        <v>509</v>
      </c>
      <c r="AE24" t="s">
        <v>510</v>
      </c>
      <c r="AF24" t="s">
        <v>511</v>
      </c>
      <c r="AG24" t="s">
        <v>512</v>
      </c>
      <c r="AI24" t="s">
        <v>509</v>
      </c>
      <c r="AJ24" t="s">
        <v>510</v>
      </c>
      <c r="AK24" t="s">
        <v>511</v>
      </c>
      <c r="AL24" t="s">
        <v>512</v>
      </c>
      <c r="AN24" t="s">
        <v>509</v>
      </c>
      <c r="AO24" t="s">
        <v>510</v>
      </c>
      <c r="AP24" t="s">
        <v>511</v>
      </c>
      <c r="AQ24" t="s">
        <v>512</v>
      </c>
      <c r="AS24" t="s">
        <v>509</v>
      </c>
      <c r="AT24" t="s">
        <v>511</v>
      </c>
      <c r="AU24" t="s">
        <v>512</v>
      </c>
      <c r="AW24" s="11"/>
    </row>
    <row r="25" spans="2:49" x14ac:dyDescent="0.35">
      <c r="C25" t="s">
        <v>24</v>
      </c>
      <c r="E25" t="s">
        <v>24</v>
      </c>
      <c r="I25" t="s">
        <v>530</v>
      </c>
      <c r="J25" t="s">
        <v>46</v>
      </c>
      <c r="K25" t="s">
        <v>47</v>
      </c>
      <c r="L25" t="s">
        <v>48</v>
      </c>
      <c r="M25" t="s">
        <v>49</v>
      </c>
      <c r="U25" t="s">
        <v>25</v>
      </c>
      <c r="V25" t="s">
        <v>25</v>
      </c>
      <c r="W25" t="s">
        <v>513</v>
      </c>
      <c r="Y25"/>
      <c r="Z25" t="s">
        <v>514</v>
      </c>
      <c r="AA25" t="s">
        <v>513</v>
      </c>
      <c r="AB25" t="s">
        <v>515</v>
      </c>
      <c r="AD25"/>
      <c r="AE25" t="s">
        <v>514</v>
      </c>
      <c r="AF25" t="s">
        <v>513</v>
      </c>
      <c r="AG25" t="s">
        <v>515</v>
      </c>
      <c r="AI25"/>
      <c r="AJ25" t="s">
        <v>514</v>
      </c>
      <c r="AK25" t="s">
        <v>513</v>
      </c>
      <c r="AL25" t="s">
        <v>515</v>
      </c>
      <c r="AO25" t="s">
        <v>514</v>
      </c>
      <c r="AP25" t="s">
        <v>513</v>
      </c>
      <c r="AQ25" t="s">
        <v>515</v>
      </c>
      <c r="AT25" t="s">
        <v>513</v>
      </c>
      <c r="AU25" t="s">
        <v>515</v>
      </c>
      <c r="AW25" s="11"/>
    </row>
    <row r="26" spans="2:49" ht="5.15" customHeight="1" thickBot="1" x14ac:dyDescent="0.4">
      <c r="Y26"/>
      <c r="Z26"/>
      <c r="AA26"/>
      <c r="AD26"/>
      <c r="AE26"/>
      <c r="AF26"/>
      <c r="AI26"/>
      <c r="AJ26"/>
      <c r="AK26"/>
      <c r="AO26"/>
    </row>
    <row r="27" spans="2:49" ht="15" thickBot="1" x14ac:dyDescent="0.4">
      <c r="B27" t="s">
        <v>26</v>
      </c>
      <c r="C27" s="14">
        <f>'Invoer elektriciteit'!C37</f>
        <v>44197</v>
      </c>
      <c r="E27" s="14">
        <f>'Invoer elektriciteit'!E37</f>
        <v>44561</v>
      </c>
      <c r="G27" s="14" t="str">
        <f>'Invoer elektriciteit'!G37</f>
        <v>Variabele prijs</v>
      </c>
      <c r="I27" s="86">
        <f>IF(J27+K27+L27+M27=0,0,IF(G$20=0,0,($G$16*J27+$G$17*K27+$G$18*L27+$G$19*M27))/SUM(IF(AND($J27&lt;&gt;0,$J27&lt;&gt;""),$G$16,0),IF(AND($K27&lt;&gt;0,$K27&lt;&gt;""),$G$17,0),IF(AND($L27&lt;&gt;0,$L27&lt;&gt;""),$G$18,0),IF(AND($M27&lt;&gt;0,$M27&lt;&gt;""),$G$19,0)))</f>
        <v>0</v>
      </c>
      <c r="J27" s="18">
        <f>'Invoer elektriciteit'!I37</f>
        <v>0</v>
      </c>
      <c r="K27" s="18">
        <f>'Invoer elektriciteit'!J37</f>
        <v>0</v>
      </c>
      <c r="L27" s="18">
        <f>'Invoer elektriciteit'!K37</f>
        <v>0</v>
      </c>
      <c r="M27" s="18">
        <f>'Invoer elektriciteit'!L37</f>
        <v>0</v>
      </c>
      <c r="P27" s="46">
        <v>44197</v>
      </c>
      <c r="Q27" s="49">
        <v>2021</v>
      </c>
      <c r="R27" s="47">
        <v>1</v>
      </c>
      <c r="S27" s="47">
        <v>31</v>
      </c>
      <c r="T27" s="48">
        <v>9.8413167899999876E-2</v>
      </c>
      <c r="U27">
        <f>'Energieprijzen kmo''s'!F12</f>
        <v>0.2059</v>
      </c>
      <c r="V27" s="50">
        <v>0.1384</v>
      </c>
      <c r="W27" s="45" t="e">
        <f t="shared" ref="W27:W47" si="0">T27*$U$21</f>
        <v>#N/A</v>
      </c>
      <c r="Y27">
        <f>IF(OR($C$27="",$E$27=""),0,Z27+MAX(0,_xlfn.DAYS(MIN($E$27,DATE(Q27,$R27,$S27)),MAX($C$27,DATE(Q27,$R27,0)))))</f>
        <v>31</v>
      </c>
      <c r="Z27" s="92">
        <f>IF(AND(MONTH($C$27)=$R27,YEAR($C$27)=$Q27),1,0)</f>
        <v>1</v>
      </c>
      <c r="AA27" s="45" t="e">
        <f>Y27/$S27*$W27</f>
        <v>#N/A</v>
      </c>
      <c r="AB27" s="51" t="e">
        <f t="shared" ref="AB27:AB53" si="1">AA27*(IF($G$27=$B$9,$U27,$I$27+$V27))</f>
        <v>#N/A</v>
      </c>
      <c r="AD27">
        <f>IF(OR($C$28="",$E$28=""),0,AE27+MAX(0,_xlfn.DAYS(MIN($E$28,DATE(Q27,$R27,$S27)),MAX($C$28,DATE(Q27,$R27,0)))))</f>
        <v>0</v>
      </c>
      <c r="AE27" s="92">
        <f>IF(AND(MONTH($C$28)=$R27,YEAR($C$28)=$Q27),1,0)</f>
        <v>0</v>
      </c>
      <c r="AF27" s="45" t="e">
        <f>AD27/$S27*$W27</f>
        <v>#N/A</v>
      </c>
      <c r="AG27" s="51" t="e">
        <f t="shared" ref="AG27:AG53" si="2">AF27*(IF($G$28=$B$9,$U27,$I$28+$V27))</f>
        <v>#N/A</v>
      </c>
      <c r="AI27">
        <f>IF(OR($C$29="",$E$29=""),0,AJ27+MAX(0,_xlfn.DAYS(MIN($E$29,DATE(Q27,$R27,$S27)),MAX($C$29,DATE(Q27,$R27,0)))))</f>
        <v>0</v>
      </c>
      <c r="AJ27" s="92">
        <f>IF(AND(MONTH($C$29)=$R27,YEAR($C$29)=$Q27),1,0)</f>
        <v>0</v>
      </c>
      <c r="AK27" s="45" t="e">
        <f>AI27/$S27*$W27</f>
        <v>#N/A</v>
      </c>
      <c r="AL27" s="51" t="e">
        <f t="shared" ref="AL27:AL53" si="3">AK27*(IF($G$29=$B$9,$U27,$J$29+$V27))</f>
        <v>#N/A</v>
      </c>
      <c r="AN27">
        <f>IF(OR($C$30="",$E$30=""),0,AO27+MAX(0,_xlfn.DAYS(MIN($E$30,DATE(Q27,$R27,$S27)),MAX($C$30,DATE(Q27,$R27,0)))))</f>
        <v>0</v>
      </c>
      <c r="AO27" s="92">
        <f>IF(AND(MONTH($C$30)=$R27,YEAR($C$30)=$Q27),1,0)</f>
        <v>0</v>
      </c>
      <c r="AP27" s="45" t="e">
        <f>AN27/$S27*$W27</f>
        <v>#N/A</v>
      </c>
      <c r="AQ27" s="51" t="e">
        <f t="shared" ref="AQ27:AQ53" si="4">AP27*(IF($G$30=$B$9,$U27,$I$30+$V27))</f>
        <v>#N/A</v>
      </c>
      <c r="AS27">
        <f t="shared" ref="AS27:AS47" si="5">AN27+AI27+AD27+Y27</f>
        <v>31</v>
      </c>
      <c r="AT27" s="45" t="e">
        <f t="shared" ref="AT27:AU42" si="6">AP27+AK27+AF27+AA27</f>
        <v>#N/A</v>
      </c>
      <c r="AU27" s="51" t="e">
        <f t="shared" si="6"/>
        <v>#N/A</v>
      </c>
      <c r="AV27">
        <f t="shared" ref="AV27:AV47" si="7">IF(AS27&gt;S27,1,0)</f>
        <v>0</v>
      </c>
      <c r="AW27">
        <f>IF(AS27&lt;S27,1,0)</f>
        <v>0</v>
      </c>
    </row>
    <row r="28" spans="2:49" ht="15" thickBot="1" x14ac:dyDescent="0.4">
      <c r="B28" t="s">
        <v>27</v>
      </c>
      <c r="C28" s="14">
        <f>'Invoer elektriciteit'!C39</f>
        <v>44562</v>
      </c>
      <c r="E28" s="14">
        <f>'Invoer elektriciteit'!E39</f>
        <v>45016</v>
      </c>
      <c r="G28" s="14" t="str">
        <f>'Invoer elektriciteit'!G39</f>
        <v>Variabele prijs</v>
      </c>
      <c r="I28" s="86">
        <f t="shared" ref="I28:I30" si="8">IF(J28+K28+L28+M28=0,0,IF(G$20=0,0,($G$16*J28+$G$17*K28+$G$18*L28+$G$19*M28))/SUM(IF(AND($J28&lt;&gt;0,$J28&lt;&gt;""),$G$16,0),IF(AND($K28&lt;&gt;0,$K28&lt;&gt;""),$G$17,0),IF(AND($L28&lt;&gt;0,$L28&lt;&gt;""),$G$18,0),IF(AND($M28&lt;&gt;0,$M28&lt;&gt;""),$G$19,0)))</f>
        <v>0</v>
      </c>
      <c r="J28" s="18">
        <f>'Invoer elektriciteit'!I39</f>
        <v>0</v>
      </c>
      <c r="K28" s="18">
        <f>'Invoer elektriciteit'!J39</f>
        <v>0</v>
      </c>
      <c r="L28" s="18">
        <f>'Invoer elektriciteit'!K39</f>
        <v>0</v>
      </c>
      <c r="M28" s="18">
        <f>'Invoer elektriciteit'!L39</f>
        <v>0</v>
      </c>
      <c r="P28" s="46">
        <v>44228</v>
      </c>
      <c r="Q28" s="49">
        <v>2021</v>
      </c>
      <c r="R28" s="47">
        <v>2</v>
      </c>
      <c r="S28" s="47">
        <v>28</v>
      </c>
      <c r="T28" s="48">
        <v>8.7997294099999887E-2</v>
      </c>
      <c r="U28">
        <f>'Energieprijzen kmo''s'!F13</f>
        <v>0.21059999999999998</v>
      </c>
      <c r="V28" s="50">
        <v>0.1384</v>
      </c>
      <c r="W28" s="45" t="e">
        <f t="shared" si="0"/>
        <v>#N/A</v>
      </c>
      <c r="Y28">
        <f t="shared" ref="Y28:Y53" si="9">IF(OR($C$27="",$E$27=""),0,Z28+MAX(0,_xlfn.DAYS(MIN($E$27,DATE(Q28,$R28,$S28)),MAX($C$27,DATE(Q28,$R28,0)))))</f>
        <v>28</v>
      </c>
      <c r="Z28" s="92">
        <f>IF(AND(MONTH($C$27)=$R28,YEAR($C$27)=$Q28),1,0)</f>
        <v>0</v>
      </c>
      <c r="AA28" s="45" t="e">
        <f t="shared" ref="AA28:AA53" si="10">Y28/$S28*$W28</f>
        <v>#N/A</v>
      </c>
      <c r="AB28" s="51" t="e">
        <f t="shared" si="1"/>
        <v>#N/A</v>
      </c>
      <c r="AD28">
        <f>IF(OR($C$28="",$E$28=""),0,AE28+MAX(0,_xlfn.DAYS(MIN($E$28,DATE(Q28,$R28,$S28)),MAX($C$28,DATE(Q28,$R28,0)))))</f>
        <v>0</v>
      </c>
      <c r="AE28" s="92">
        <f>IF(AND(MONTH($C$28)=$R28,YEAR($C$28)=$Q28),1,0)</f>
        <v>0</v>
      </c>
      <c r="AF28" s="45" t="e">
        <f t="shared" ref="AF28:AF53" si="11">AD28/$S28*$W28</f>
        <v>#N/A</v>
      </c>
      <c r="AG28" s="51" t="e">
        <f t="shared" si="2"/>
        <v>#N/A</v>
      </c>
      <c r="AI28">
        <f t="shared" ref="AI28:AI53" si="12">IF(OR($C$29="",$E$29=""),0,AJ28+MAX(0,_xlfn.DAYS(MIN($E$29,DATE(Q28,$R28,$S28)),MAX($C$29,DATE(Q28,$R28,0)))))</f>
        <v>0</v>
      </c>
      <c r="AJ28" s="92">
        <f>IF(AND(MONTH($C$29)=$R28,YEAR($C$29)=$Q28),1,0)</f>
        <v>0</v>
      </c>
      <c r="AK28" s="45" t="e">
        <f t="shared" ref="AK28:AK53" si="13">AI28/$S28*$W28</f>
        <v>#N/A</v>
      </c>
      <c r="AL28" s="51" t="e">
        <f t="shared" si="3"/>
        <v>#N/A</v>
      </c>
      <c r="AN28">
        <f t="shared" ref="AN28:AN53" si="14">IF(OR($C$30="",$E$30=""),0,AO28+MAX(0,_xlfn.DAYS(MIN($E$30,DATE(Q28,$R28,$S28)),MAX($C$30,DATE(Q28,$R28,0)))))</f>
        <v>0</v>
      </c>
      <c r="AO28" s="92">
        <f>IF(AND(MONTH($C$30)=$R28,YEAR($C$30)=$Q28),1,0)</f>
        <v>0</v>
      </c>
      <c r="AP28" s="45" t="e">
        <f t="shared" ref="AP28:AP53" si="15">AN28/$S28*$W28</f>
        <v>#N/A</v>
      </c>
      <c r="AQ28" s="51" t="e">
        <f t="shared" si="4"/>
        <v>#N/A</v>
      </c>
      <c r="AS28">
        <f t="shared" si="5"/>
        <v>28</v>
      </c>
      <c r="AT28" s="45" t="e">
        <f t="shared" si="6"/>
        <v>#N/A</v>
      </c>
      <c r="AU28" s="51" t="e">
        <f t="shared" si="6"/>
        <v>#N/A</v>
      </c>
      <c r="AV28">
        <f t="shared" si="7"/>
        <v>0</v>
      </c>
      <c r="AW28">
        <f t="shared" ref="AW28:AW53" si="16">IF(AS28&lt;S28,1,0)</f>
        <v>0</v>
      </c>
    </row>
    <row r="29" spans="2:49" ht="15" thickBot="1" x14ac:dyDescent="0.4">
      <c r="B29" t="s">
        <v>28</v>
      </c>
      <c r="C29" s="14">
        <f>'Invoer elektriciteit'!C41</f>
        <v>0</v>
      </c>
      <c r="E29" s="14">
        <f>'Invoer elektriciteit'!E41</f>
        <v>0</v>
      </c>
      <c r="G29" s="14">
        <f>'Invoer elektriciteit'!G41</f>
        <v>0</v>
      </c>
      <c r="I29" s="86">
        <f t="shared" si="8"/>
        <v>0</v>
      </c>
      <c r="J29" s="18">
        <f>'Invoer elektriciteit'!I41</f>
        <v>0</v>
      </c>
      <c r="K29" s="18">
        <f>'Invoer elektriciteit'!J41</f>
        <v>0</v>
      </c>
      <c r="L29" s="18">
        <f>'Invoer elektriciteit'!K41</f>
        <v>0</v>
      </c>
      <c r="M29" s="18">
        <f>'Invoer elektriciteit'!L41</f>
        <v>0</v>
      </c>
      <c r="P29" s="46">
        <v>44256</v>
      </c>
      <c r="Q29" s="49">
        <v>2021</v>
      </c>
      <c r="R29" s="47">
        <v>3</v>
      </c>
      <c r="S29" s="47">
        <v>31</v>
      </c>
      <c r="T29" s="48">
        <v>9.0909948200000007E-2</v>
      </c>
      <c r="U29">
        <f>'Energieprijzen kmo''s'!F14</f>
        <v>0.21059999999999998</v>
      </c>
      <c r="V29" s="50">
        <v>0.14230000000000001</v>
      </c>
      <c r="W29" s="45" t="e">
        <f t="shared" si="0"/>
        <v>#N/A</v>
      </c>
      <c r="Y29">
        <f t="shared" si="9"/>
        <v>31</v>
      </c>
      <c r="Z29" s="92">
        <f>IF(AND(MONTH($C$27)=$R29,YEAR($C$27)=$Q29),1,0)</f>
        <v>0</v>
      </c>
      <c r="AA29" s="45" t="e">
        <f t="shared" si="10"/>
        <v>#N/A</v>
      </c>
      <c r="AB29" s="51" t="e">
        <f t="shared" si="1"/>
        <v>#N/A</v>
      </c>
      <c r="AD29">
        <f>IF(OR($C$28="",$E$28=""),0,AE29+MAX(0,_xlfn.DAYS(MIN($E$28,DATE(Q29,$R29,$S29)),MAX($C$28,DATE(Q29,$R29,0)))))</f>
        <v>0</v>
      </c>
      <c r="AE29" s="92">
        <f>IF(AND(MONTH($C$28)=$R29,YEAR($C$28)=$Q29),1,0)</f>
        <v>0</v>
      </c>
      <c r="AF29" s="45" t="e">
        <f t="shared" si="11"/>
        <v>#N/A</v>
      </c>
      <c r="AG29" s="51" t="e">
        <f t="shared" si="2"/>
        <v>#N/A</v>
      </c>
      <c r="AI29">
        <f t="shared" si="12"/>
        <v>0</v>
      </c>
      <c r="AJ29" s="92">
        <f>IF(AND(MONTH($C$29)=$R29,YEAR($C$29)=$Q29),1,0)</f>
        <v>0</v>
      </c>
      <c r="AK29" s="45" t="e">
        <f t="shared" si="13"/>
        <v>#N/A</v>
      </c>
      <c r="AL29" s="51" t="e">
        <f t="shared" si="3"/>
        <v>#N/A</v>
      </c>
      <c r="AN29">
        <f t="shared" si="14"/>
        <v>0</v>
      </c>
      <c r="AO29" s="92">
        <f>IF(AND(MONTH($C$30)=$R29,YEAR($C$30)=$Q29),1,0)</f>
        <v>0</v>
      </c>
      <c r="AP29" s="45" t="e">
        <f t="shared" si="15"/>
        <v>#N/A</v>
      </c>
      <c r="AQ29" s="51" t="e">
        <f t="shared" si="4"/>
        <v>#N/A</v>
      </c>
      <c r="AS29">
        <f t="shared" si="5"/>
        <v>31</v>
      </c>
      <c r="AT29" s="45" t="e">
        <f t="shared" si="6"/>
        <v>#N/A</v>
      </c>
      <c r="AU29" s="51" t="e">
        <f t="shared" si="6"/>
        <v>#N/A</v>
      </c>
      <c r="AV29">
        <f t="shared" si="7"/>
        <v>0</v>
      </c>
      <c r="AW29">
        <f t="shared" si="16"/>
        <v>0</v>
      </c>
    </row>
    <row r="30" spans="2:49" ht="15" thickBot="1" x14ac:dyDescent="0.4">
      <c r="B30" t="s">
        <v>29</v>
      </c>
      <c r="C30" s="14">
        <f>'Invoer elektriciteit'!C43</f>
        <v>0</v>
      </c>
      <c r="E30" s="14">
        <f>'Invoer elektriciteit'!E43</f>
        <v>0</v>
      </c>
      <c r="G30" s="14">
        <f>'Invoer elektriciteit'!G43</f>
        <v>0</v>
      </c>
      <c r="I30" s="86">
        <f t="shared" si="8"/>
        <v>0</v>
      </c>
      <c r="J30" s="18">
        <f>'Invoer elektriciteit'!I43</f>
        <v>0</v>
      </c>
      <c r="K30" s="18">
        <f>'Invoer elektriciteit'!J43</f>
        <v>0</v>
      </c>
      <c r="L30" s="18">
        <f>'Invoer elektriciteit'!K43</f>
        <v>0</v>
      </c>
      <c r="M30" s="18">
        <f>'Invoer elektriciteit'!L43</f>
        <v>0</v>
      </c>
      <c r="P30" s="46">
        <v>44287</v>
      </c>
      <c r="Q30" s="49">
        <v>2021</v>
      </c>
      <c r="R30" s="47">
        <v>4</v>
      </c>
      <c r="S30" s="47">
        <v>30</v>
      </c>
      <c r="T30" s="48">
        <v>8.005018080000012E-2</v>
      </c>
      <c r="U30">
        <f>'Energieprijzen kmo''s'!F15</f>
        <v>0.20949999999999999</v>
      </c>
      <c r="V30" s="50">
        <v>0.14230000000000001</v>
      </c>
      <c r="W30" s="45" t="e">
        <f t="shared" si="0"/>
        <v>#N/A</v>
      </c>
      <c r="Y30">
        <f t="shared" si="9"/>
        <v>30</v>
      </c>
      <c r="Z30" s="92">
        <f>IF(AND(MONTH($C$27)=$R30,YEAR($C$27)=$Q30),1,0)</f>
        <v>0</v>
      </c>
      <c r="AA30" s="45" t="e">
        <f t="shared" si="10"/>
        <v>#N/A</v>
      </c>
      <c r="AB30" s="51" t="e">
        <f t="shared" si="1"/>
        <v>#N/A</v>
      </c>
      <c r="AD30">
        <f>IF(OR($C$28="",$E$28=""),0,AE30+MAX(0,_xlfn.DAYS(MIN($E$28,DATE(Q30,$R30,$S30)),MAX($C$28,DATE(Q30,$R30,0)))))</f>
        <v>0</v>
      </c>
      <c r="AE30" s="92">
        <f>IF(AND(MONTH($C$28)=$R30,YEAR($C$28)=$Q30),1,0)</f>
        <v>0</v>
      </c>
      <c r="AF30" s="45" t="e">
        <f t="shared" si="11"/>
        <v>#N/A</v>
      </c>
      <c r="AG30" s="51" t="e">
        <f t="shared" si="2"/>
        <v>#N/A</v>
      </c>
      <c r="AI30">
        <f t="shared" si="12"/>
        <v>0</v>
      </c>
      <c r="AJ30" s="92">
        <f>IF(AND(MONTH($C$29)=$R30,YEAR($C$29)=$Q30),1,0)</f>
        <v>0</v>
      </c>
      <c r="AK30" s="45" t="e">
        <f t="shared" si="13"/>
        <v>#N/A</v>
      </c>
      <c r="AL30" s="51" t="e">
        <f t="shared" si="3"/>
        <v>#N/A</v>
      </c>
      <c r="AN30">
        <f t="shared" si="14"/>
        <v>0</v>
      </c>
      <c r="AO30" s="92">
        <f>IF(AND(MONTH($C$30)=$R30,YEAR($C$30)=$Q30),1,0)</f>
        <v>0</v>
      </c>
      <c r="AP30" s="45" t="e">
        <f t="shared" si="15"/>
        <v>#N/A</v>
      </c>
      <c r="AQ30" s="51" t="e">
        <f t="shared" si="4"/>
        <v>#N/A</v>
      </c>
      <c r="AS30">
        <f t="shared" si="5"/>
        <v>30</v>
      </c>
      <c r="AT30" s="45" t="e">
        <f t="shared" si="6"/>
        <v>#N/A</v>
      </c>
      <c r="AU30" s="51" t="e">
        <f t="shared" si="6"/>
        <v>#N/A</v>
      </c>
      <c r="AV30">
        <f t="shared" si="7"/>
        <v>0</v>
      </c>
      <c r="AW30">
        <f t="shared" si="16"/>
        <v>0</v>
      </c>
    </row>
    <row r="31" spans="2:49" x14ac:dyDescent="0.35">
      <c r="P31" s="46">
        <v>44317</v>
      </c>
      <c r="Q31" s="49">
        <v>2021</v>
      </c>
      <c r="R31" s="47">
        <v>5</v>
      </c>
      <c r="S31" s="47">
        <v>31</v>
      </c>
      <c r="T31" s="48">
        <v>7.6794371200000031E-2</v>
      </c>
      <c r="U31">
        <f>'Energieprijzen kmo''s'!F16</f>
        <v>0.2152</v>
      </c>
      <c r="V31" s="50">
        <v>0.14230000000000001</v>
      </c>
      <c r="W31" s="45" t="e">
        <f t="shared" si="0"/>
        <v>#N/A</v>
      </c>
      <c r="Y31">
        <f t="shared" si="9"/>
        <v>31</v>
      </c>
      <c r="Z31" s="92">
        <f>IF(AND(MONTH($C$27)=$R31,YEAR($C$27)=$Q31),1,0)</f>
        <v>0</v>
      </c>
      <c r="AA31" s="45" t="e">
        <f t="shared" si="10"/>
        <v>#N/A</v>
      </c>
      <c r="AB31" s="51" t="e">
        <f t="shared" si="1"/>
        <v>#N/A</v>
      </c>
      <c r="AD31">
        <f>IF(OR($C$28="",$E$28=""),0,AE31+MAX(0,_xlfn.DAYS(MIN($E$28,DATE(Q31,$R31,$S31)),MAX($C$28,DATE(Q31,$R31,0)))))</f>
        <v>0</v>
      </c>
      <c r="AE31" s="92">
        <f>IF(AND(MONTH($C$28)=$R31,YEAR($C$28)=$Q31),1,0)</f>
        <v>0</v>
      </c>
      <c r="AF31" s="45" t="e">
        <f t="shared" si="11"/>
        <v>#N/A</v>
      </c>
      <c r="AG31" s="51" t="e">
        <f t="shared" si="2"/>
        <v>#N/A</v>
      </c>
      <c r="AI31">
        <f t="shared" si="12"/>
        <v>0</v>
      </c>
      <c r="AJ31" s="92">
        <f>IF(AND(MONTH($C$29)=$R31,YEAR($C$29)=$Q31),1,0)</f>
        <v>0</v>
      </c>
      <c r="AK31" s="45" t="e">
        <f t="shared" si="13"/>
        <v>#N/A</v>
      </c>
      <c r="AL31" s="51" t="e">
        <f t="shared" si="3"/>
        <v>#N/A</v>
      </c>
      <c r="AN31">
        <f t="shared" si="14"/>
        <v>0</v>
      </c>
      <c r="AO31" s="92">
        <f>IF(AND(MONTH($C$30)=$R31,YEAR($C$30)=$Q31),1,0)</f>
        <v>0</v>
      </c>
      <c r="AP31" s="45" t="e">
        <f t="shared" si="15"/>
        <v>#N/A</v>
      </c>
      <c r="AQ31" s="51" t="e">
        <f t="shared" si="4"/>
        <v>#N/A</v>
      </c>
      <c r="AS31">
        <f t="shared" si="5"/>
        <v>31</v>
      </c>
      <c r="AT31" s="45" t="e">
        <f t="shared" si="6"/>
        <v>#N/A</v>
      </c>
      <c r="AU31" s="51" t="e">
        <f t="shared" si="6"/>
        <v>#N/A</v>
      </c>
      <c r="AV31">
        <f t="shared" si="7"/>
        <v>0</v>
      </c>
      <c r="AW31">
        <f t="shared" si="16"/>
        <v>0</v>
      </c>
    </row>
    <row r="32" spans="2:49" x14ac:dyDescent="0.35">
      <c r="C32" s="53" t="str">
        <f>IF(AV55&gt;0,"Opgelet, één of meerdere contractperiodes overlappen voor deze meter.","")</f>
        <v/>
      </c>
      <c r="D32" s="52"/>
      <c r="E32" s="52"/>
      <c r="F32" s="52"/>
      <c r="G32" s="52"/>
      <c r="H32" s="52"/>
      <c r="I32" s="52"/>
      <c r="J32" s="52"/>
      <c r="K32" s="52"/>
      <c r="L32" s="52"/>
      <c r="M32" s="52"/>
      <c r="P32" s="46">
        <v>44348</v>
      </c>
      <c r="Q32" s="49">
        <v>2021</v>
      </c>
      <c r="R32" s="47">
        <v>6</v>
      </c>
      <c r="S32" s="47">
        <v>30</v>
      </c>
      <c r="T32" s="48">
        <v>7.6753781599999987E-2</v>
      </c>
      <c r="U32">
        <f>'Energieprijzen kmo''s'!F17</f>
        <v>0.2145</v>
      </c>
      <c r="V32" s="50">
        <v>0.14219999999999999</v>
      </c>
      <c r="W32" s="45" t="e">
        <f t="shared" si="0"/>
        <v>#N/A</v>
      </c>
      <c r="Y32">
        <f t="shared" si="9"/>
        <v>30</v>
      </c>
      <c r="Z32" s="92">
        <f>IF(AND(MONTH($C$27)=$R32,YEAR($C$27)=$Q32),1,0)</f>
        <v>0</v>
      </c>
      <c r="AA32" s="45" t="e">
        <f t="shared" si="10"/>
        <v>#N/A</v>
      </c>
      <c r="AB32" s="51" t="e">
        <f t="shared" si="1"/>
        <v>#N/A</v>
      </c>
      <c r="AD32">
        <f>IF(OR($C$28="",$E$28=""),0,AE32+MAX(0,_xlfn.DAYS(MIN($E$28,DATE(Q32,$R32,$S32)),MAX($C$28,DATE(Q32,$R32,0)))))</f>
        <v>0</v>
      </c>
      <c r="AE32" s="92">
        <f>IF(AND(MONTH($C$28)=$R32,YEAR($C$28)=$Q32),1,0)</f>
        <v>0</v>
      </c>
      <c r="AF32" s="45" t="e">
        <f t="shared" si="11"/>
        <v>#N/A</v>
      </c>
      <c r="AG32" s="51" t="e">
        <f t="shared" si="2"/>
        <v>#N/A</v>
      </c>
      <c r="AI32">
        <f t="shared" si="12"/>
        <v>0</v>
      </c>
      <c r="AJ32" s="92">
        <f>IF(AND(MONTH($C$29)=$R32,YEAR($C$29)=$Q32),1,0)</f>
        <v>0</v>
      </c>
      <c r="AK32" s="45" t="e">
        <f t="shared" si="13"/>
        <v>#N/A</v>
      </c>
      <c r="AL32" s="51" t="e">
        <f t="shared" si="3"/>
        <v>#N/A</v>
      </c>
      <c r="AN32">
        <f t="shared" si="14"/>
        <v>0</v>
      </c>
      <c r="AO32" s="92">
        <f>IF(AND(MONTH($C$30)=$R32,YEAR($C$30)=$Q32),1,0)</f>
        <v>0</v>
      </c>
      <c r="AP32" s="45" t="e">
        <f t="shared" si="15"/>
        <v>#N/A</v>
      </c>
      <c r="AQ32" s="51" t="e">
        <f t="shared" si="4"/>
        <v>#N/A</v>
      </c>
      <c r="AS32">
        <f t="shared" si="5"/>
        <v>30</v>
      </c>
      <c r="AT32" s="45" t="e">
        <f t="shared" si="6"/>
        <v>#N/A</v>
      </c>
      <c r="AU32" s="51" t="e">
        <f t="shared" si="6"/>
        <v>#N/A</v>
      </c>
      <c r="AV32">
        <f t="shared" si="7"/>
        <v>0</v>
      </c>
      <c r="AW32">
        <f t="shared" si="16"/>
        <v>0</v>
      </c>
    </row>
    <row r="33" spans="3:49" x14ac:dyDescent="0.35">
      <c r="C33" s="53" t="str">
        <f>IF(AW56&gt;0,"De contracten omvatten niet de volledige periode van 1/1/2021 t.e.m. 31/03/2023.","")</f>
        <v/>
      </c>
      <c r="D33" s="52"/>
      <c r="E33" s="52"/>
      <c r="F33" s="52"/>
      <c r="G33" s="52"/>
      <c r="H33" s="52"/>
      <c r="I33" s="52"/>
      <c r="J33" s="52"/>
      <c r="K33" s="52"/>
      <c r="L33" s="52"/>
      <c r="M33" s="52"/>
      <c r="P33" s="46">
        <v>44378</v>
      </c>
      <c r="Q33" s="49">
        <v>2021</v>
      </c>
      <c r="R33" s="47">
        <v>7</v>
      </c>
      <c r="S33" s="47">
        <v>31</v>
      </c>
      <c r="T33" s="48">
        <v>7.3972338200000029E-2</v>
      </c>
      <c r="U33">
        <f>'Energieprijzen kmo''s'!F18</f>
        <v>0.2341</v>
      </c>
      <c r="V33" s="50">
        <v>0.14219999999999999</v>
      </c>
      <c r="W33" s="45" t="e">
        <f t="shared" si="0"/>
        <v>#N/A</v>
      </c>
      <c r="Y33">
        <f t="shared" si="9"/>
        <v>31</v>
      </c>
      <c r="Z33" s="92">
        <f>IF(AND(MONTH($C$27)=$R33,YEAR($C$27)=$Q33),1,0)</f>
        <v>0</v>
      </c>
      <c r="AA33" s="45" t="e">
        <f t="shared" si="10"/>
        <v>#N/A</v>
      </c>
      <c r="AB33" s="51" t="e">
        <f t="shared" si="1"/>
        <v>#N/A</v>
      </c>
      <c r="AD33">
        <f>IF(OR($C$28="",$E$28=""),0,AE33+MAX(0,_xlfn.DAYS(MIN($E$28,DATE(Q33,$R33,$S33)),MAX($C$28,DATE(Q33,$R33,0)))))</f>
        <v>0</v>
      </c>
      <c r="AE33" s="92">
        <f>IF(AND(MONTH($C$28)=$R33,YEAR($C$28)=$Q33),1,0)</f>
        <v>0</v>
      </c>
      <c r="AF33" s="45" t="e">
        <f t="shared" si="11"/>
        <v>#N/A</v>
      </c>
      <c r="AG33" s="51" t="e">
        <f t="shared" si="2"/>
        <v>#N/A</v>
      </c>
      <c r="AI33">
        <f t="shared" si="12"/>
        <v>0</v>
      </c>
      <c r="AJ33" s="92">
        <f>IF(AND(MONTH($C$29)=$R33,YEAR($C$29)=$Q33),1,0)</f>
        <v>0</v>
      </c>
      <c r="AK33" s="45" t="e">
        <f t="shared" si="13"/>
        <v>#N/A</v>
      </c>
      <c r="AL33" s="51" t="e">
        <f t="shared" si="3"/>
        <v>#N/A</v>
      </c>
      <c r="AN33">
        <f t="shared" si="14"/>
        <v>0</v>
      </c>
      <c r="AO33" s="92">
        <f>IF(AND(MONTH($C$30)=$R33,YEAR($C$30)=$Q33),1,0)</f>
        <v>0</v>
      </c>
      <c r="AP33" s="45" t="e">
        <f t="shared" si="15"/>
        <v>#N/A</v>
      </c>
      <c r="AQ33" s="51" t="e">
        <f t="shared" si="4"/>
        <v>#N/A</v>
      </c>
      <c r="AS33">
        <f t="shared" si="5"/>
        <v>31</v>
      </c>
      <c r="AT33" s="45" t="e">
        <f t="shared" si="6"/>
        <v>#N/A</v>
      </c>
      <c r="AU33" s="51" t="e">
        <f t="shared" si="6"/>
        <v>#N/A</v>
      </c>
      <c r="AV33">
        <f t="shared" si="7"/>
        <v>0</v>
      </c>
      <c r="AW33">
        <f t="shared" si="16"/>
        <v>0</v>
      </c>
    </row>
    <row r="34" spans="3:49" x14ac:dyDescent="0.35">
      <c r="C34" s="53" t="str">
        <f>'Invoer elektriciteit'!C47</f>
        <v/>
      </c>
      <c r="D34" s="52"/>
      <c r="E34" s="52"/>
      <c r="F34" s="52"/>
      <c r="G34" s="52"/>
      <c r="H34" s="52"/>
      <c r="I34" s="52"/>
      <c r="J34" s="52"/>
      <c r="K34" s="52"/>
      <c r="L34" s="52"/>
      <c r="M34" s="52"/>
      <c r="P34" s="46">
        <v>44409</v>
      </c>
      <c r="Q34" s="49">
        <v>2021</v>
      </c>
      <c r="R34" s="47">
        <v>8</v>
      </c>
      <c r="S34" s="47">
        <v>31</v>
      </c>
      <c r="T34" s="48">
        <v>7.4179966500000152E-2</v>
      </c>
      <c r="U34">
        <f>'Energieprijzen kmo''s'!F19</f>
        <v>0.23550000000000001</v>
      </c>
      <c r="V34" s="50">
        <v>0.14219999999999999</v>
      </c>
      <c r="W34" s="45" t="e">
        <f t="shared" si="0"/>
        <v>#N/A</v>
      </c>
      <c r="Y34">
        <f t="shared" si="9"/>
        <v>31</v>
      </c>
      <c r="Z34" s="92">
        <f>IF(AND(MONTH($C$27)=$R34,YEAR($C$27)=$Q34),1,0)</f>
        <v>0</v>
      </c>
      <c r="AA34" s="45" t="e">
        <f t="shared" si="10"/>
        <v>#N/A</v>
      </c>
      <c r="AB34" s="51" t="e">
        <f t="shared" si="1"/>
        <v>#N/A</v>
      </c>
      <c r="AD34">
        <f>IF(OR($C$28="",$E$28=""),0,AE34+MAX(0,_xlfn.DAYS(MIN($E$28,DATE(Q34,$R34,$S34)),MAX($C$28,DATE(Q34,$R34,0)))))</f>
        <v>0</v>
      </c>
      <c r="AE34" s="92">
        <f>IF(AND(MONTH($C$28)=$R34,YEAR($C$28)=$Q34),1,0)</f>
        <v>0</v>
      </c>
      <c r="AF34" s="45" t="e">
        <f t="shared" si="11"/>
        <v>#N/A</v>
      </c>
      <c r="AG34" s="51" t="e">
        <f t="shared" si="2"/>
        <v>#N/A</v>
      </c>
      <c r="AI34">
        <f t="shared" si="12"/>
        <v>0</v>
      </c>
      <c r="AJ34" s="92">
        <f>IF(AND(MONTH($C$29)=$R34,YEAR($C$29)=$Q34),1,0)</f>
        <v>0</v>
      </c>
      <c r="AK34" s="45" t="e">
        <f t="shared" si="13"/>
        <v>#N/A</v>
      </c>
      <c r="AL34" s="51" t="e">
        <f t="shared" si="3"/>
        <v>#N/A</v>
      </c>
      <c r="AN34">
        <f t="shared" si="14"/>
        <v>0</v>
      </c>
      <c r="AO34" s="92">
        <f>IF(AND(MONTH($C$30)=$R34,YEAR($C$30)=$Q34),1,0)</f>
        <v>0</v>
      </c>
      <c r="AP34" s="45" t="e">
        <f t="shared" si="15"/>
        <v>#N/A</v>
      </c>
      <c r="AQ34" s="51" t="e">
        <f t="shared" si="4"/>
        <v>#N/A</v>
      </c>
      <c r="AS34">
        <f t="shared" si="5"/>
        <v>31</v>
      </c>
      <c r="AT34" s="45" t="e">
        <f t="shared" si="6"/>
        <v>#N/A</v>
      </c>
      <c r="AU34" s="51" t="e">
        <f t="shared" si="6"/>
        <v>#N/A</v>
      </c>
      <c r="AV34">
        <f t="shared" si="7"/>
        <v>0</v>
      </c>
      <c r="AW34">
        <f t="shared" si="16"/>
        <v>0</v>
      </c>
    </row>
    <row r="35" spans="3:49" x14ac:dyDescent="0.35">
      <c r="E35" s="12"/>
      <c r="P35" s="46">
        <v>44440</v>
      </c>
      <c r="Q35" s="49">
        <v>2021</v>
      </c>
      <c r="R35" s="47">
        <v>9</v>
      </c>
      <c r="S35" s="47">
        <v>30</v>
      </c>
      <c r="T35" s="48">
        <v>7.7366391099999779E-2</v>
      </c>
      <c r="U35">
        <f>'Energieprijzen kmo''s'!F20</f>
        <v>0.23719999999999999</v>
      </c>
      <c r="V35" s="50">
        <v>0.14230000000000001</v>
      </c>
      <c r="W35" s="45" t="e">
        <f t="shared" si="0"/>
        <v>#N/A</v>
      </c>
      <c r="Y35">
        <f t="shared" si="9"/>
        <v>30</v>
      </c>
      <c r="Z35" s="92">
        <f>IF(AND(MONTH($C$27)=$R35,YEAR($C$27)=$Q35),1,0)</f>
        <v>0</v>
      </c>
      <c r="AA35" s="45" t="e">
        <f t="shared" si="10"/>
        <v>#N/A</v>
      </c>
      <c r="AB35" s="51" t="e">
        <f t="shared" si="1"/>
        <v>#N/A</v>
      </c>
      <c r="AD35">
        <f>IF(OR($C$28="",$E$28=""),0,AE35+MAX(0,_xlfn.DAYS(MIN($E$28,DATE(Q35,$R35,$S35)),MAX($C$28,DATE(Q35,$R35,0)))))</f>
        <v>0</v>
      </c>
      <c r="AE35" s="92">
        <f>IF(AND(MONTH($C$28)=$R35,YEAR($C$28)=$Q35),1,0)</f>
        <v>0</v>
      </c>
      <c r="AF35" s="45" t="e">
        <f t="shared" si="11"/>
        <v>#N/A</v>
      </c>
      <c r="AG35" s="51" t="e">
        <f t="shared" si="2"/>
        <v>#N/A</v>
      </c>
      <c r="AI35">
        <f t="shared" si="12"/>
        <v>0</v>
      </c>
      <c r="AJ35" s="92">
        <f>IF(AND(MONTH($C$29)=$R35,YEAR($C$29)=$Q35),1,0)</f>
        <v>0</v>
      </c>
      <c r="AK35" s="45" t="e">
        <f t="shared" si="13"/>
        <v>#N/A</v>
      </c>
      <c r="AL35" s="51" t="e">
        <f t="shared" si="3"/>
        <v>#N/A</v>
      </c>
      <c r="AN35">
        <f t="shared" si="14"/>
        <v>0</v>
      </c>
      <c r="AO35" s="92">
        <f>IF(AND(MONTH($C$30)=$R35,YEAR($C$30)=$Q35),1,0)</f>
        <v>0</v>
      </c>
      <c r="AP35" s="45" t="e">
        <f t="shared" si="15"/>
        <v>#N/A</v>
      </c>
      <c r="AQ35" s="51" t="e">
        <f t="shared" si="4"/>
        <v>#N/A</v>
      </c>
      <c r="AS35">
        <f t="shared" si="5"/>
        <v>30</v>
      </c>
      <c r="AT35" s="45" t="e">
        <f t="shared" si="6"/>
        <v>#N/A</v>
      </c>
      <c r="AU35" s="51" t="e">
        <f t="shared" si="6"/>
        <v>#N/A</v>
      </c>
      <c r="AV35">
        <f t="shared" si="7"/>
        <v>0</v>
      </c>
      <c r="AW35">
        <f t="shared" si="16"/>
        <v>0</v>
      </c>
    </row>
    <row r="36" spans="3:49" x14ac:dyDescent="0.35">
      <c r="P36" s="46">
        <v>44470</v>
      </c>
      <c r="Q36" s="49">
        <v>2021</v>
      </c>
      <c r="R36" s="47">
        <v>10</v>
      </c>
      <c r="S36" s="47">
        <v>31</v>
      </c>
      <c r="T36" s="48">
        <v>8.2378552799999921E-2</v>
      </c>
      <c r="U36">
        <f>'Energieprijzen kmo''s'!F21</f>
        <v>0.29020000000000001</v>
      </c>
      <c r="V36" s="50">
        <v>0.1426</v>
      </c>
      <c r="W36" s="45" t="e">
        <f t="shared" si="0"/>
        <v>#N/A</v>
      </c>
      <c r="Y36">
        <f t="shared" si="9"/>
        <v>31</v>
      </c>
      <c r="Z36" s="92">
        <f>IF(AND(MONTH($C$27)=$R36,YEAR($C$27)=$Q36),1,0)</f>
        <v>0</v>
      </c>
      <c r="AA36" s="45" t="e">
        <f t="shared" si="10"/>
        <v>#N/A</v>
      </c>
      <c r="AB36" s="51" t="e">
        <f t="shared" si="1"/>
        <v>#N/A</v>
      </c>
      <c r="AD36">
        <f>IF(OR($C$28="",$E$28=""),0,AE36+MAX(0,_xlfn.DAYS(MIN($E$28,DATE(Q36,$R36,$S36)),MAX($C$28,DATE(Q36,$R36,0)))))</f>
        <v>0</v>
      </c>
      <c r="AE36" s="92">
        <f>IF(AND(MONTH($C$28)=$R36,YEAR($C$28)=$Q36),1,0)</f>
        <v>0</v>
      </c>
      <c r="AF36" s="45" t="e">
        <f t="shared" si="11"/>
        <v>#N/A</v>
      </c>
      <c r="AG36" s="51" t="e">
        <f t="shared" si="2"/>
        <v>#N/A</v>
      </c>
      <c r="AI36">
        <f t="shared" si="12"/>
        <v>0</v>
      </c>
      <c r="AJ36" s="92">
        <f>IF(AND(MONTH($C$29)=$R36,YEAR($C$29)=$Q36),1,0)</f>
        <v>0</v>
      </c>
      <c r="AK36" s="45" t="e">
        <f t="shared" si="13"/>
        <v>#N/A</v>
      </c>
      <c r="AL36" s="51" t="e">
        <f t="shared" si="3"/>
        <v>#N/A</v>
      </c>
      <c r="AN36">
        <f t="shared" si="14"/>
        <v>0</v>
      </c>
      <c r="AO36" s="92">
        <f>IF(AND(MONTH($C$30)=$R36,YEAR($C$30)=$Q36),1,0)</f>
        <v>0</v>
      </c>
      <c r="AP36" s="45" t="e">
        <f t="shared" si="15"/>
        <v>#N/A</v>
      </c>
      <c r="AQ36" s="51" t="e">
        <f t="shared" si="4"/>
        <v>#N/A</v>
      </c>
      <c r="AS36">
        <f t="shared" si="5"/>
        <v>31</v>
      </c>
      <c r="AT36" s="45" t="e">
        <f t="shared" si="6"/>
        <v>#N/A</v>
      </c>
      <c r="AU36" s="51" t="e">
        <f t="shared" si="6"/>
        <v>#N/A</v>
      </c>
      <c r="AV36">
        <f t="shared" si="7"/>
        <v>0</v>
      </c>
      <c r="AW36">
        <f t="shared" si="16"/>
        <v>0</v>
      </c>
    </row>
    <row r="37" spans="3:49" x14ac:dyDescent="0.35">
      <c r="P37" s="46">
        <v>44501</v>
      </c>
      <c r="Q37" s="49">
        <v>2021</v>
      </c>
      <c r="R37" s="47">
        <v>11</v>
      </c>
      <c r="S37" s="47">
        <v>30</v>
      </c>
      <c r="T37" s="48">
        <v>8.5964010900000026E-2</v>
      </c>
      <c r="U37">
        <f>'Energieprijzen kmo''s'!F22</f>
        <v>0.30480000000000002</v>
      </c>
      <c r="V37" s="50">
        <v>0.1421</v>
      </c>
      <c r="W37" s="45" t="e">
        <f t="shared" si="0"/>
        <v>#N/A</v>
      </c>
      <c r="Y37">
        <f t="shared" si="9"/>
        <v>30</v>
      </c>
      <c r="Z37" s="92">
        <f>IF(AND(MONTH($C$27)=$R37,YEAR($C$27)=$Q37),1,0)</f>
        <v>0</v>
      </c>
      <c r="AA37" s="45" t="e">
        <f t="shared" si="10"/>
        <v>#N/A</v>
      </c>
      <c r="AB37" s="51" t="e">
        <f t="shared" si="1"/>
        <v>#N/A</v>
      </c>
      <c r="AD37">
        <f>IF(OR($C$28="",$E$28=""),0,AE37+MAX(0,_xlfn.DAYS(MIN($E$28,DATE(Q37,$R37,$S37)),MAX($C$28,DATE(Q37,$R37,0)))))</f>
        <v>0</v>
      </c>
      <c r="AE37" s="92">
        <f>IF(AND(MONTH($C$28)=$R37,YEAR($C$28)=$Q37),1,0)</f>
        <v>0</v>
      </c>
      <c r="AF37" s="45" t="e">
        <f t="shared" si="11"/>
        <v>#N/A</v>
      </c>
      <c r="AG37" s="51" t="e">
        <f t="shared" si="2"/>
        <v>#N/A</v>
      </c>
      <c r="AI37">
        <f t="shared" si="12"/>
        <v>0</v>
      </c>
      <c r="AJ37" s="92">
        <f>IF(AND(MONTH($C$29)=$R37,YEAR($C$29)=$Q37),1,0)</f>
        <v>0</v>
      </c>
      <c r="AK37" s="45" t="e">
        <f t="shared" si="13"/>
        <v>#N/A</v>
      </c>
      <c r="AL37" s="51" t="e">
        <f t="shared" si="3"/>
        <v>#N/A</v>
      </c>
      <c r="AN37">
        <f t="shared" si="14"/>
        <v>0</v>
      </c>
      <c r="AO37" s="92">
        <f>IF(AND(MONTH($C$30)=$R37,YEAR($C$30)=$Q37),1,0)</f>
        <v>0</v>
      </c>
      <c r="AP37" s="45" t="e">
        <f t="shared" si="15"/>
        <v>#N/A</v>
      </c>
      <c r="AQ37" s="51" t="e">
        <f t="shared" si="4"/>
        <v>#N/A</v>
      </c>
      <c r="AS37">
        <f t="shared" si="5"/>
        <v>30</v>
      </c>
      <c r="AT37" s="45" t="e">
        <f t="shared" si="6"/>
        <v>#N/A</v>
      </c>
      <c r="AU37" s="51" t="e">
        <f t="shared" si="6"/>
        <v>#N/A</v>
      </c>
      <c r="AV37">
        <f t="shared" si="7"/>
        <v>0</v>
      </c>
      <c r="AW37">
        <f t="shared" si="16"/>
        <v>0</v>
      </c>
    </row>
    <row r="38" spans="3:49" x14ac:dyDescent="0.35">
      <c r="P38" s="46">
        <v>44531</v>
      </c>
      <c r="Q38" s="49">
        <v>2021</v>
      </c>
      <c r="R38" s="47">
        <v>12</v>
      </c>
      <c r="S38" s="47">
        <v>31</v>
      </c>
      <c r="T38" s="48">
        <v>9.5219996700000947E-2</v>
      </c>
      <c r="U38">
        <f>'Energieprijzen kmo''s'!F23</f>
        <v>0.32829999999999998</v>
      </c>
      <c r="V38" s="50">
        <v>0.1421</v>
      </c>
      <c r="W38" s="45" t="e">
        <f t="shared" si="0"/>
        <v>#N/A</v>
      </c>
      <c r="Y38">
        <f t="shared" si="9"/>
        <v>31</v>
      </c>
      <c r="Z38" s="92">
        <f>IF(AND(MONTH($C$27)=$R38,YEAR($C$27)=$Q38),1,0)</f>
        <v>0</v>
      </c>
      <c r="AA38" s="45" t="e">
        <f t="shared" si="10"/>
        <v>#N/A</v>
      </c>
      <c r="AB38" s="51" t="e">
        <f t="shared" si="1"/>
        <v>#N/A</v>
      </c>
      <c r="AD38">
        <f>IF(OR($C$28="",$E$28=""),0,AE38+MAX(0,_xlfn.DAYS(MIN($E$28,DATE(Q38,$R38,$S38)),MAX($C$28,DATE(Q38,$R38,0)))))</f>
        <v>0</v>
      </c>
      <c r="AE38" s="92">
        <f>IF(AND(MONTH($C$28)=$R38,YEAR($C$28)=$Q38),1,0)</f>
        <v>0</v>
      </c>
      <c r="AF38" s="45" t="e">
        <f t="shared" si="11"/>
        <v>#N/A</v>
      </c>
      <c r="AG38" s="51" t="e">
        <f t="shared" si="2"/>
        <v>#N/A</v>
      </c>
      <c r="AI38">
        <f t="shared" si="12"/>
        <v>0</v>
      </c>
      <c r="AJ38" s="92">
        <f>IF(AND(MONTH($C$29)=$R38,YEAR($C$29)=$Q38),1,0)</f>
        <v>0</v>
      </c>
      <c r="AK38" s="45" t="e">
        <f t="shared" si="13"/>
        <v>#N/A</v>
      </c>
      <c r="AL38" s="51" t="e">
        <f t="shared" si="3"/>
        <v>#N/A</v>
      </c>
      <c r="AN38">
        <f t="shared" si="14"/>
        <v>0</v>
      </c>
      <c r="AO38" s="92">
        <f>IF(AND(MONTH($C$30)=$R38,YEAR($C$30)=$Q38),1,0)</f>
        <v>0</v>
      </c>
      <c r="AP38" s="45" t="e">
        <f t="shared" si="15"/>
        <v>#N/A</v>
      </c>
      <c r="AQ38" s="51" t="e">
        <f t="shared" si="4"/>
        <v>#N/A</v>
      </c>
      <c r="AS38">
        <f t="shared" si="5"/>
        <v>31</v>
      </c>
      <c r="AT38" s="45" t="e">
        <f t="shared" si="6"/>
        <v>#N/A</v>
      </c>
      <c r="AU38" s="51" t="e">
        <f t="shared" si="6"/>
        <v>#N/A</v>
      </c>
      <c r="AV38">
        <f t="shared" si="7"/>
        <v>0</v>
      </c>
      <c r="AW38">
        <f t="shared" si="16"/>
        <v>0</v>
      </c>
    </row>
    <row r="39" spans="3:49" x14ac:dyDescent="0.35">
      <c r="P39" s="46">
        <v>44562</v>
      </c>
      <c r="Q39" s="49">
        <v>2022</v>
      </c>
      <c r="R39" s="47">
        <v>1</v>
      </c>
      <c r="S39" s="47">
        <v>31</v>
      </c>
      <c r="T39" s="48">
        <v>9.8413167899999876E-2</v>
      </c>
      <c r="U39">
        <f>'Energieprijzen kmo''s'!F24</f>
        <v>0.40490000000000004</v>
      </c>
      <c r="V39" s="50">
        <v>0.1318</v>
      </c>
      <c r="W39" s="45" t="e">
        <f t="shared" si="0"/>
        <v>#N/A</v>
      </c>
      <c r="Y39">
        <f t="shared" si="9"/>
        <v>0</v>
      </c>
      <c r="Z39" s="92">
        <f>IF(AND(MONTH($C$27)=$R39,YEAR($C$27)=$Q39),1,0)</f>
        <v>0</v>
      </c>
      <c r="AA39" s="45" t="e">
        <f t="shared" si="10"/>
        <v>#N/A</v>
      </c>
      <c r="AB39" s="51" t="e">
        <f t="shared" si="1"/>
        <v>#N/A</v>
      </c>
      <c r="AD39">
        <f>IF(OR($C$28="",$E$28=""),0,AE39+MAX(0,_xlfn.DAYS(MIN($E$28,DATE(Q39,$R39,$S39)),MAX($C$28,DATE(Q39,$R39,0)))))</f>
        <v>31</v>
      </c>
      <c r="AE39" s="92">
        <f>IF(AND(MONTH($C$28)=$R39,YEAR($C$28)=$Q39),1,0)</f>
        <v>1</v>
      </c>
      <c r="AF39" s="45" t="e">
        <f t="shared" si="11"/>
        <v>#N/A</v>
      </c>
      <c r="AG39" s="51" t="e">
        <f t="shared" si="2"/>
        <v>#N/A</v>
      </c>
      <c r="AI39">
        <f t="shared" si="12"/>
        <v>0</v>
      </c>
      <c r="AJ39" s="92">
        <f>IF(AND(MONTH($C$29)=$R39,YEAR($C$29)=$Q39),1,0)</f>
        <v>0</v>
      </c>
      <c r="AK39" s="45" t="e">
        <f t="shared" si="13"/>
        <v>#N/A</v>
      </c>
      <c r="AL39" s="51" t="e">
        <f t="shared" si="3"/>
        <v>#N/A</v>
      </c>
      <c r="AN39">
        <f t="shared" si="14"/>
        <v>0</v>
      </c>
      <c r="AO39" s="92">
        <f>IF(AND(MONTH($C$30)=$R39,YEAR($C$30)=$Q39),1,0)</f>
        <v>0</v>
      </c>
      <c r="AP39" s="45" t="e">
        <f t="shared" si="15"/>
        <v>#N/A</v>
      </c>
      <c r="AQ39" s="51" t="e">
        <f t="shared" si="4"/>
        <v>#N/A</v>
      </c>
      <c r="AS39">
        <f t="shared" si="5"/>
        <v>31</v>
      </c>
      <c r="AT39" s="45" t="e">
        <f t="shared" si="6"/>
        <v>#N/A</v>
      </c>
      <c r="AU39" s="51" t="e">
        <f t="shared" si="6"/>
        <v>#N/A</v>
      </c>
      <c r="AV39">
        <f t="shared" si="7"/>
        <v>0</v>
      </c>
      <c r="AW39">
        <f t="shared" si="16"/>
        <v>0</v>
      </c>
    </row>
    <row r="40" spans="3:49" x14ac:dyDescent="0.35">
      <c r="P40" s="46">
        <v>44593</v>
      </c>
      <c r="Q40" s="49">
        <v>2022</v>
      </c>
      <c r="R40" s="47">
        <v>2</v>
      </c>
      <c r="S40" s="47">
        <v>28</v>
      </c>
      <c r="T40" s="48">
        <v>8.7997294099999887E-2</v>
      </c>
      <c r="U40">
        <f>'Energieprijzen kmo''s'!F25</f>
        <v>0.37369999999999998</v>
      </c>
      <c r="V40" s="50">
        <v>0.13150000000000001</v>
      </c>
      <c r="W40" s="45" t="e">
        <f t="shared" si="0"/>
        <v>#N/A</v>
      </c>
      <c r="Y40">
        <f t="shared" si="9"/>
        <v>0</v>
      </c>
      <c r="Z40" s="92">
        <f>IF(AND(MONTH($C$27)=$R40,YEAR($C$27)=$Q40),1,0)</f>
        <v>0</v>
      </c>
      <c r="AA40" s="45" t="e">
        <f t="shared" si="10"/>
        <v>#N/A</v>
      </c>
      <c r="AB40" s="51" t="e">
        <f t="shared" si="1"/>
        <v>#N/A</v>
      </c>
      <c r="AD40">
        <f>IF(OR($C$28="",$E$28=""),0,AE40+MAX(0,_xlfn.DAYS(MIN($E$28,DATE(Q40,$R40,$S40)),MAX($C$28,DATE(Q40,$R40,0)))))</f>
        <v>28</v>
      </c>
      <c r="AE40" s="92">
        <f>IF(AND(MONTH($C$28)=$R40,YEAR($C$28)=$Q40),1,0)</f>
        <v>0</v>
      </c>
      <c r="AF40" s="45" t="e">
        <f t="shared" si="11"/>
        <v>#N/A</v>
      </c>
      <c r="AG40" s="51" t="e">
        <f t="shared" si="2"/>
        <v>#N/A</v>
      </c>
      <c r="AI40">
        <f t="shared" si="12"/>
        <v>0</v>
      </c>
      <c r="AJ40" s="92">
        <f>IF(AND(MONTH($C$29)=$R40,YEAR($C$29)=$Q40),1,0)</f>
        <v>0</v>
      </c>
      <c r="AK40" s="45" t="e">
        <f t="shared" si="13"/>
        <v>#N/A</v>
      </c>
      <c r="AL40" s="51" t="e">
        <f t="shared" si="3"/>
        <v>#N/A</v>
      </c>
      <c r="AN40">
        <f t="shared" si="14"/>
        <v>0</v>
      </c>
      <c r="AO40" s="92">
        <f>IF(AND(MONTH($C$30)=$R40,YEAR($C$30)=$Q40),1,0)</f>
        <v>0</v>
      </c>
      <c r="AP40" s="45" t="e">
        <f t="shared" si="15"/>
        <v>#N/A</v>
      </c>
      <c r="AQ40" s="51" t="e">
        <f t="shared" si="4"/>
        <v>#N/A</v>
      </c>
      <c r="AS40">
        <f t="shared" si="5"/>
        <v>28</v>
      </c>
      <c r="AT40" s="45" t="e">
        <f t="shared" si="6"/>
        <v>#N/A</v>
      </c>
      <c r="AU40" s="51" t="e">
        <f t="shared" si="6"/>
        <v>#N/A</v>
      </c>
      <c r="AV40">
        <f t="shared" si="7"/>
        <v>0</v>
      </c>
      <c r="AW40">
        <f t="shared" si="16"/>
        <v>0</v>
      </c>
    </row>
    <row r="41" spans="3:49" x14ac:dyDescent="0.35">
      <c r="P41" s="46">
        <v>44621</v>
      </c>
      <c r="Q41" s="49">
        <v>2022</v>
      </c>
      <c r="R41" s="47">
        <v>3</v>
      </c>
      <c r="S41" s="47">
        <v>31</v>
      </c>
      <c r="T41" s="48">
        <v>9.0909948200000007E-2</v>
      </c>
      <c r="U41">
        <f>'Energieprijzen kmo''s'!F26</f>
        <v>0.3589</v>
      </c>
      <c r="V41" s="50">
        <v>0.13220000000000001</v>
      </c>
      <c r="W41" s="45" t="e">
        <f t="shared" si="0"/>
        <v>#N/A</v>
      </c>
      <c r="Y41">
        <f t="shared" si="9"/>
        <v>0</v>
      </c>
      <c r="Z41" s="92">
        <f>IF(AND(MONTH($C$27)=$R41,YEAR($C$27)=$Q41),1,0)</f>
        <v>0</v>
      </c>
      <c r="AA41" s="45" t="e">
        <f t="shared" si="10"/>
        <v>#N/A</v>
      </c>
      <c r="AB41" s="51" t="e">
        <f t="shared" si="1"/>
        <v>#N/A</v>
      </c>
      <c r="AD41">
        <f>IF(OR($C$28="",$E$28=""),0,AE41+MAX(0,_xlfn.DAYS(MIN($E$28,DATE(Q41,$R41,$S41)),MAX($C$28,DATE(Q41,$R41,0)))))</f>
        <v>31</v>
      </c>
      <c r="AE41" s="92">
        <f>IF(AND(MONTH($C$28)=$R41,YEAR($C$28)=$Q41),1,0)</f>
        <v>0</v>
      </c>
      <c r="AF41" s="45" t="e">
        <f t="shared" si="11"/>
        <v>#N/A</v>
      </c>
      <c r="AG41" s="51" t="e">
        <f t="shared" si="2"/>
        <v>#N/A</v>
      </c>
      <c r="AI41">
        <f t="shared" si="12"/>
        <v>0</v>
      </c>
      <c r="AJ41" s="92">
        <f>IF(AND(MONTH($C$29)=$R41,YEAR($C$29)=$Q41),1,0)</f>
        <v>0</v>
      </c>
      <c r="AK41" s="45" t="e">
        <f t="shared" si="13"/>
        <v>#N/A</v>
      </c>
      <c r="AL41" s="51" t="e">
        <f t="shared" si="3"/>
        <v>#N/A</v>
      </c>
      <c r="AN41">
        <f t="shared" si="14"/>
        <v>0</v>
      </c>
      <c r="AO41" s="92">
        <f>IF(AND(MONTH($C$30)=$R41,YEAR($C$30)=$Q41),1,0)</f>
        <v>0</v>
      </c>
      <c r="AP41" s="45" t="e">
        <f t="shared" si="15"/>
        <v>#N/A</v>
      </c>
      <c r="AQ41" s="51" t="e">
        <f t="shared" si="4"/>
        <v>#N/A</v>
      </c>
      <c r="AS41">
        <f t="shared" si="5"/>
        <v>31</v>
      </c>
      <c r="AT41" s="45" t="e">
        <f t="shared" si="6"/>
        <v>#N/A</v>
      </c>
      <c r="AU41" s="51" t="e">
        <f t="shared" si="6"/>
        <v>#N/A</v>
      </c>
      <c r="AV41">
        <f t="shared" si="7"/>
        <v>0</v>
      </c>
      <c r="AW41">
        <f t="shared" si="16"/>
        <v>0</v>
      </c>
    </row>
    <row r="42" spans="3:49" x14ac:dyDescent="0.35">
      <c r="P42" s="46">
        <v>44652</v>
      </c>
      <c r="Q42" s="49">
        <v>2022</v>
      </c>
      <c r="R42" s="47">
        <v>4</v>
      </c>
      <c r="S42" s="47">
        <v>30</v>
      </c>
      <c r="T42" s="48">
        <v>8.005018080000012E-2</v>
      </c>
      <c r="U42">
        <f>'Energieprijzen kmo''s'!F27</f>
        <v>0.41210000000000002</v>
      </c>
      <c r="V42" s="50">
        <v>0.13220000000000001</v>
      </c>
      <c r="W42" s="45" t="e">
        <f t="shared" si="0"/>
        <v>#N/A</v>
      </c>
      <c r="Y42">
        <f t="shared" si="9"/>
        <v>0</v>
      </c>
      <c r="Z42" s="92">
        <f>IF(AND(MONTH($C$27)=$R42,YEAR($C$27)=$Q42),1,0)</f>
        <v>0</v>
      </c>
      <c r="AA42" s="45" t="e">
        <f t="shared" si="10"/>
        <v>#N/A</v>
      </c>
      <c r="AB42" s="51" t="e">
        <f t="shared" si="1"/>
        <v>#N/A</v>
      </c>
      <c r="AD42">
        <f>IF(OR($C$28="",$E$28=""),0,AE42+MAX(0,_xlfn.DAYS(MIN($E$28,DATE(Q42,$R42,$S42)),MAX($C$28,DATE(Q42,$R42,0)))))</f>
        <v>30</v>
      </c>
      <c r="AE42" s="92">
        <f>IF(AND(MONTH($C$28)=$R42,YEAR($C$28)=$Q42),1,0)</f>
        <v>0</v>
      </c>
      <c r="AF42" s="45" t="e">
        <f t="shared" si="11"/>
        <v>#N/A</v>
      </c>
      <c r="AG42" s="51" t="e">
        <f t="shared" si="2"/>
        <v>#N/A</v>
      </c>
      <c r="AI42">
        <f t="shared" si="12"/>
        <v>0</v>
      </c>
      <c r="AJ42" s="92">
        <f>IF(AND(MONTH($C$29)=$R42,YEAR($C$29)=$Q42),1,0)</f>
        <v>0</v>
      </c>
      <c r="AK42" s="45" t="e">
        <f t="shared" si="13"/>
        <v>#N/A</v>
      </c>
      <c r="AL42" s="51" t="e">
        <f t="shared" si="3"/>
        <v>#N/A</v>
      </c>
      <c r="AN42">
        <f t="shared" si="14"/>
        <v>0</v>
      </c>
      <c r="AO42" s="92">
        <f>IF(AND(MONTH($C$30)=$R42,YEAR($C$30)=$Q42),1,0)</f>
        <v>0</v>
      </c>
      <c r="AP42" s="45" t="e">
        <f t="shared" si="15"/>
        <v>#N/A</v>
      </c>
      <c r="AQ42" s="51" t="e">
        <f t="shared" si="4"/>
        <v>#N/A</v>
      </c>
      <c r="AS42">
        <f t="shared" si="5"/>
        <v>30</v>
      </c>
      <c r="AT42" s="45" t="e">
        <f t="shared" si="6"/>
        <v>#N/A</v>
      </c>
      <c r="AU42" s="51" t="e">
        <f t="shared" si="6"/>
        <v>#N/A</v>
      </c>
      <c r="AV42">
        <f t="shared" si="7"/>
        <v>0</v>
      </c>
      <c r="AW42">
        <f t="shared" si="16"/>
        <v>0</v>
      </c>
    </row>
    <row r="43" spans="3:49" x14ac:dyDescent="0.35">
      <c r="P43" s="46">
        <v>44682</v>
      </c>
      <c r="Q43" s="49">
        <v>2022</v>
      </c>
      <c r="R43" s="47">
        <v>5</v>
      </c>
      <c r="S43" s="47">
        <v>31</v>
      </c>
      <c r="T43" s="48">
        <v>7.6794371200000031E-2</v>
      </c>
      <c r="U43">
        <f>'Energieprijzen kmo''s'!F28</f>
        <v>0.36420000000000002</v>
      </c>
      <c r="V43" s="50">
        <v>0.13220000000000001</v>
      </c>
      <c r="W43" s="45" t="e">
        <f t="shared" si="0"/>
        <v>#N/A</v>
      </c>
      <c r="Y43">
        <f t="shared" si="9"/>
        <v>0</v>
      </c>
      <c r="Z43" s="92">
        <f>IF(AND(MONTH($C$27)=$R43,YEAR($C$27)=$Q43),1,0)</f>
        <v>0</v>
      </c>
      <c r="AA43" s="45" t="e">
        <f t="shared" si="10"/>
        <v>#N/A</v>
      </c>
      <c r="AB43" s="51" t="e">
        <f t="shared" si="1"/>
        <v>#N/A</v>
      </c>
      <c r="AD43">
        <f>IF(OR($C$28="",$E$28=""),0,AE43+MAX(0,_xlfn.DAYS(MIN($E$28,DATE(Q43,$R43,$S43)),MAX($C$28,DATE(Q43,$R43,0)))))</f>
        <v>31</v>
      </c>
      <c r="AE43" s="92">
        <f>IF(AND(MONTH($C$28)=$R43,YEAR($C$28)=$Q43),1,0)</f>
        <v>0</v>
      </c>
      <c r="AF43" s="45" t="e">
        <f t="shared" si="11"/>
        <v>#N/A</v>
      </c>
      <c r="AG43" s="51" t="e">
        <f t="shared" si="2"/>
        <v>#N/A</v>
      </c>
      <c r="AI43">
        <f t="shared" si="12"/>
        <v>0</v>
      </c>
      <c r="AJ43" s="92">
        <f>IF(AND(MONTH($C$29)=$R43,YEAR($C$29)=$Q43),1,0)</f>
        <v>0</v>
      </c>
      <c r="AK43" s="45" t="e">
        <f t="shared" si="13"/>
        <v>#N/A</v>
      </c>
      <c r="AL43" s="51" t="e">
        <f t="shared" si="3"/>
        <v>#N/A</v>
      </c>
      <c r="AN43">
        <f t="shared" si="14"/>
        <v>0</v>
      </c>
      <c r="AO43" s="92">
        <f>IF(AND(MONTH($C$30)=$R43,YEAR($C$30)=$Q43),1,0)</f>
        <v>0</v>
      </c>
      <c r="AP43" s="45" t="e">
        <f t="shared" si="15"/>
        <v>#N/A</v>
      </c>
      <c r="AQ43" s="51" t="e">
        <f t="shared" si="4"/>
        <v>#N/A</v>
      </c>
      <c r="AS43">
        <f t="shared" si="5"/>
        <v>31</v>
      </c>
      <c r="AT43" s="45" t="e">
        <f t="shared" ref="AT43:AU47" si="17">AP43+AK43+AF43+AA43</f>
        <v>#N/A</v>
      </c>
      <c r="AU43" s="51" t="e">
        <f t="shared" si="17"/>
        <v>#N/A</v>
      </c>
      <c r="AV43">
        <f t="shared" si="7"/>
        <v>0</v>
      </c>
      <c r="AW43">
        <f t="shared" si="16"/>
        <v>0</v>
      </c>
    </row>
    <row r="44" spans="3:49" x14ac:dyDescent="0.35">
      <c r="P44" s="46">
        <v>44713</v>
      </c>
      <c r="Q44" s="49">
        <v>2022</v>
      </c>
      <c r="R44" s="47">
        <v>6</v>
      </c>
      <c r="S44" s="47">
        <v>30</v>
      </c>
      <c r="T44" s="48">
        <v>7.6753781599999987E-2</v>
      </c>
      <c r="U44">
        <f>'Energieprijzen kmo''s'!F29</f>
        <v>0.35810000000000003</v>
      </c>
      <c r="V44" s="50">
        <v>0.13220000000000001</v>
      </c>
      <c r="W44" s="45" t="e">
        <f t="shared" si="0"/>
        <v>#N/A</v>
      </c>
      <c r="Y44">
        <f t="shared" si="9"/>
        <v>0</v>
      </c>
      <c r="Z44" s="92">
        <f>IF(AND(MONTH($C$27)=$R44,YEAR($C$27)=$Q44),1,0)</f>
        <v>0</v>
      </c>
      <c r="AA44" s="45" t="e">
        <f t="shared" si="10"/>
        <v>#N/A</v>
      </c>
      <c r="AB44" s="51" t="e">
        <f t="shared" si="1"/>
        <v>#N/A</v>
      </c>
      <c r="AD44">
        <f>IF(OR($C$28="",$E$28=""),0,AE44+MAX(0,_xlfn.DAYS(MIN($E$28,DATE(Q44,$R44,$S44)),MAX($C$28,DATE(Q44,$R44,0)))))</f>
        <v>30</v>
      </c>
      <c r="AE44" s="92">
        <f>IF(AND(MONTH($C$28)=$R44,YEAR($C$28)=$Q44),1,0)</f>
        <v>0</v>
      </c>
      <c r="AF44" s="45" t="e">
        <f t="shared" si="11"/>
        <v>#N/A</v>
      </c>
      <c r="AG44" s="51" t="e">
        <f t="shared" si="2"/>
        <v>#N/A</v>
      </c>
      <c r="AI44">
        <f t="shared" si="12"/>
        <v>0</v>
      </c>
      <c r="AJ44" s="92">
        <f>IF(AND(MONTH($C$29)=$R44,YEAR($C$29)=$Q44),1,0)</f>
        <v>0</v>
      </c>
      <c r="AK44" s="45" t="e">
        <f t="shared" si="13"/>
        <v>#N/A</v>
      </c>
      <c r="AL44" s="51" t="e">
        <f t="shared" si="3"/>
        <v>#N/A</v>
      </c>
      <c r="AN44">
        <f t="shared" si="14"/>
        <v>0</v>
      </c>
      <c r="AO44" s="92">
        <f>IF(AND(MONTH($C$30)=$R44,YEAR($C$30)=$Q44),1,0)</f>
        <v>0</v>
      </c>
      <c r="AP44" s="45" t="e">
        <f t="shared" si="15"/>
        <v>#N/A</v>
      </c>
      <c r="AQ44" s="51" t="e">
        <f t="shared" si="4"/>
        <v>#N/A</v>
      </c>
      <c r="AS44">
        <f t="shared" si="5"/>
        <v>30</v>
      </c>
      <c r="AT44" s="45" t="e">
        <f t="shared" si="17"/>
        <v>#N/A</v>
      </c>
      <c r="AU44" s="51" t="e">
        <f t="shared" si="17"/>
        <v>#N/A</v>
      </c>
      <c r="AV44">
        <f t="shared" si="7"/>
        <v>0</v>
      </c>
      <c r="AW44">
        <f t="shared" si="16"/>
        <v>0</v>
      </c>
    </row>
    <row r="45" spans="3:49" x14ac:dyDescent="0.35">
      <c r="P45" s="46">
        <v>44743</v>
      </c>
      <c r="Q45" s="49">
        <v>2022</v>
      </c>
      <c r="R45" s="47">
        <v>7</v>
      </c>
      <c r="S45" s="47">
        <v>31</v>
      </c>
      <c r="T45" s="48">
        <v>7.3972338200000029E-2</v>
      </c>
      <c r="U45">
        <f>'Energieprijzen kmo''s'!F30</f>
        <v>0.4022</v>
      </c>
      <c r="V45" s="50">
        <v>0.13220000000000001</v>
      </c>
      <c r="W45" s="45" t="e">
        <f t="shared" si="0"/>
        <v>#N/A</v>
      </c>
      <c r="Y45">
        <f t="shared" si="9"/>
        <v>0</v>
      </c>
      <c r="Z45" s="92">
        <f>IF(AND(MONTH($C$27)=$R45,YEAR($C$27)=$Q45),1,0)</f>
        <v>0</v>
      </c>
      <c r="AA45" s="45" t="e">
        <f t="shared" si="10"/>
        <v>#N/A</v>
      </c>
      <c r="AB45" s="51" t="e">
        <f t="shared" si="1"/>
        <v>#N/A</v>
      </c>
      <c r="AD45">
        <f>IF(OR($C$28="",$E$28=""),0,AE45+MAX(0,_xlfn.DAYS(MIN($E$28,DATE(Q45,$R45,$S45)),MAX($C$28,DATE(Q45,$R45,0)))))</f>
        <v>31</v>
      </c>
      <c r="AE45" s="92">
        <f>IF(AND(MONTH($C$28)=$R45,YEAR($C$28)=$Q45),1,0)</f>
        <v>0</v>
      </c>
      <c r="AF45" s="45" t="e">
        <f t="shared" si="11"/>
        <v>#N/A</v>
      </c>
      <c r="AG45" s="51" t="e">
        <f t="shared" si="2"/>
        <v>#N/A</v>
      </c>
      <c r="AI45">
        <f t="shared" si="12"/>
        <v>0</v>
      </c>
      <c r="AJ45" s="92">
        <f>IF(AND(MONTH($C$29)=$R45,YEAR($C$29)=$Q45),1,0)</f>
        <v>0</v>
      </c>
      <c r="AK45" s="45" t="e">
        <f t="shared" si="13"/>
        <v>#N/A</v>
      </c>
      <c r="AL45" s="51" t="e">
        <f t="shared" si="3"/>
        <v>#N/A</v>
      </c>
      <c r="AN45">
        <f t="shared" si="14"/>
        <v>0</v>
      </c>
      <c r="AO45" s="92">
        <f>IF(AND(MONTH($C$30)=$R45,YEAR($C$30)=$Q45),1,0)</f>
        <v>0</v>
      </c>
      <c r="AP45" s="45" t="e">
        <f t="shared" si="15"/>
        <v>#N/A</v>
      </c>
      <c r="AQ45" s="51" t="e">
        <f t="shared" si="4"/>
        <v>#N/A</v>
      </c>
      <c r="AS45">
        <f t="shared" si="5"/>
        <v>31</v>
      </c>
      <c r="AT45" s="45" t="e">
        <f t="shared" si="17"/>
        <v>#N/A</v>
      </c>
      <c r="AU45" s="51" t="e">
        <f t="shared" si="17"/>
        <v>#N/A</v>
      </c>
      <c r="AV45">
        <f t="shared" si="7"/>
        <v>0</v>
      </c>
      <c r="AW45">
        <f t="shared" si="16"/>
        <v>0</v>
      </c>
    </row>
    <row r="46" spans="3:49" x14ac:dyDescent="0.35">
      <c r="P46" s="46">
        <v>44774</v>
      </c>
      <c r="Q46" s="49">
        <v>2022</v>
      </c>
      <c r="R46" s="47">
        <v>8</v>
      </c>
      <c r="S46" s="47">
        <v>31</v>
      </c>
      <c r="T46" s="48">
        <v>7.4179966500000152E-2</v>
      </c>
      <c r="U46">
        <f>'Energieprijzen kmo''s'!F31</f>
        <v>0.4652</v>
      </c>
      <c r="V46" s="50">
        <v>0.13220000000000001</v>
      </c>
      <c r="W46" s="45" t="e">
        <f t="shared" si="0"/>
        <v>#N/A</v>
      </c>
      <c r="Y46">
        <f t="shared" si="9"/>
        <v>0</v>
      </c>
      <c r="Z46" s="92">
        <f>IF(AND(MONTH($C$27)=$R46,YEAR($C$27)=$Q46),1,0)</f>
        <v>0</v>
      </c>
      <c r="AA46" s="45" t="e">
        <f t="shared" si="10"/>
        <v>#N/A</v>
      </c>
      <c r="AB46" s="51" t="e">
        <f t="shared" si="1"/>
        <v>#N/A</v>
      </c>
      <c r="AD46">
        <f>IF(OR($C$28="",$E$28=""),0,AE46+MAX(0,_xlfn.DAYS(MIN($E$28,DATE(Q46,$R46,$S46)),MAX($C$28,DATE(Q46,$R46,0)))))</f>
        <v>31</v>
      </c>
      <c r="AE46" s="92">
        <f>IF(AND(MONTH($C$28)=$R46,YEAR($C$28)=$Q46),1,0)</f>
        <v>0</v>
      </c>
      <c r="AF46" s="45" t="e">
        <f t="shared" si="11"/>
        <v>#N/A</v>
      </c>
      <c r="AG46" s="51" t="e">
        <f t="shared" si="2"/>
        <v>#N/A</v>
      </c>
      <c r="AI46">
        <f t="shared" si="12"/>
        <v>0</v>
      </c>
      <c r="AJ46" s="92">
        <f>IF(AND(MONTH($C$29)=$R46,YEAR($C$29)=$Q46),1,0)</f>
        <v>0</v>
      </c>
      <c r="AK46" s="45" t="e">
        <f t="shared" si="13"/>
        <v>#N/A</v>
      </c>
      <c r="AL46" s="51" t="e">
        <f t="shared" si="3"/>
        <v>#N/A</v>
      </c>
      <c r="AN46">
        <f t="shared" si="14"/>
        <v>0</v>
      </c>
      <c r="AO46" s="92">
        <f>IF(AND(MONTH($C$30)=$R46,YEAR($C$30)=$Q46),1,0)</f>
        <v>0</v>
      </c>
      <c r="AP46" s="45" t="e">
        <f t="shared" si="15"/>
        <v>#N/A</v>
      </c>
      <c r="AQ46" s="51" t="e">
        <f t="shared" si="4"/>
        <v>#N/A</v>
      </c>
      <c r="AS46">
        <f t="shared" si="5"/>
        <v>31</v>
      </c>
      <c r="AT46" s="45" t="e">
        <f t="shared" si="17"/>
        <v>#N/A</v>
      </c>
      <c r="AU46" s="51" t="e">
        <f t="shared" si="17"/>
        <v>#N/A</v>
      </c>
      <c r="AV46">
        <f t="shared" si="7"/>
        <v>0</v>
      </c>
      <c r="AW46">
        <f t="shared" si="16"/>
        <v>0</v>
      </c>
    </row>
    <row r="47" spans="3:49" x14ac:dyDescent="0.35">
      <c r="P47" s="46">
        <v>44805</v>
      </c>
      <c r="Q47" s="49">
        <v>2022</v>
      </c>
      <c r="R47" s="47">
        <v>9</v>
      </c>
      <c r="S47" s="47">
        <v>30</v>
      </c>
      <c r="T47" s="48">
        <v>7.7366391099999779E-2</v>
      </c>
      <c r="U47">
        <f>'Energieprijzen kmo''s'!F32</f>
        <v>0.54410000000000003</v>
      </c>
      <c r="V47" s="50">
        <v>0.13220000000000001</v>
      </c>
      <c r="W47" s="45" t="e">
        <f t="shared" si="0"/>
        <v>#N/A</v>
      </c>
      <c r="Y47">
        <f t="shared" si="9"/>
        <v>0</v>
      </c>
      <c r="Z47" s="92">
        <f>IF(AND(MONTH($C$27)=$R47,YEAR($C$27)=$Q47),1,0)</f>
        <v>0</v>
      </c>
      <c r="AA47" s="45" t="e">
        <f t="shared" si="10"/>
        <v>#N/A</v>
      </c>
      <c r="AB47" s="51" t="e">
        <f t="shared" si="1"/>
        <v>#N/A</v>
      </c>
      <c r="AD47">
        <f>IF(OR($C$28="",$E$28=""),0,AE47+MAX(0,_xlfn.DAYS(MIN($E$28,DATE(Q47,$R47,$S47)),MAX($C$28,DATE(Q47,$R47,0)))))</f>
        <v>30</v>
      </c>
      <c r="AE47" s="92">
        <f>IF(AND(MONTH($C$28)=$R47,YEAR($C$28)=$Q47),1,0)</f>
        <v>0</v>
      </c>
      <c r="AF47" s="45" t="e">
        <f t="shared" si="11"/>
        <v>#N/A</v>
      </c>
      <c r="AG47" s="51" t="e">
        <f t="shared" si="2"/>
        <v>#N/A</v>
      </c>
      <c r="AI47">
        <f t="shared" si="12"/>
        <v>0</v>
      </c>
      <c r="AJ47" s="92">
        <f>IF(AND(MONTH($C$29)=$R47,YEAR($C$29)=$Q47),1,0)</f>
        <v>0</v>
      </c>
      <c r="AK47" s="45" t="e">
        <f t="shared" si="13"/>
        <v>#N/A</v>
      </c>
      <c r="AL47" s="51" t="e">
        <f t="shared" si="3"/>
        <v>#N/A</v>
      </c>
      <c r="AN47">
        <f t="shared" si="14"/>
        <v>0</v>
      </c>
      <c r="AO47" s="92">
        <f>IF(AND(MONTH($C$30)=$R47,YEAR($C$30)=$Q47),1,0)</f>
        <v>0</v>
      </c>
      <c r="AP47" s="45" t="e">
        <f t="shared" si="15"/>
        <v>#N/A</v>
      </c>
      <c r="AQ47" s="51" t="e">
        <f t="shared" si="4"/>
        <v>#N/A</v>
      </c>
      <c r="AS47">
        <f t="shared" si="5"/>
        <v>30</v>
      </c>
      <c r="AT47" s="45" t="e">
        <f t="shared" si="17"/>
        <v>#N/A</v>
      </c>
      <c r="AU47" s="51" t="e">
        <f t="shared" si="17"/>
        <v>#N/A</v>
      </c>
      <c r="AV47">
        <f t="shared" si="7"/>
        <v>0</v>
      </c>
      <c r="AW47">
        <f t="shared" si="16"/>
        <v>0</v>
      </c>
    </row>
    <row r="48" spans="3:49" x14ac:dyDescent="0.35">
      <c r="P48" s="46">
        <v>44835</v>
      </c>
      <c r="Q48" s="49">
        <v>2022</v>
      </c>
      <c r="R48" s="47">
        <v>10</v>
      </c>
      <c r="S48" s="47">
        <v>31</v>
      </c>
      <c r="T48" s="48">
        <v>8.2378552799999921E-2</v>
      </c>
      <c r="U48">
        <f>'Energieprijzen kmo''s'!F33</f>
        <v>0.63290000000000002</v>
      </c>
      <c r="V48" s="50">
        <v>0.13220000000000001</v>
      </c>
      <c r="W48" s="45" t="e">
        <f>T48*$U$21*0.7</f>
        <v>#N/A</v>
      </c>
      <c r="Y48">
        <f t="shared" si="9"/>
        <v>0</v>
      </c>
      <c r="Z48" s="92">
        <f>IF(AND(MONTH($C$27)=$R48,YEAR($C$27)=$Q48),1,0)</f>
        <v>0</v>
      </c>
      <c r="AA48" s="45" t="e">
        <f t="shared" si="10"/>
        <v>#N/A</v>
      </c>
      <c r="AB48" s="51" t="e">
        <f t="shared" si="1"/>
        <v>#N/A</v>
      </c>
      <c r="AD48">
        <f>IF(OR($C$28="",$E$28=""),0,AE48+MAX(0,_xlfn.DAYS(MIN($E$28,DATE(Q48,$R48,$S48)),MAX($C$28,DATE(Q48,$R48,0)))))</f>
        <v>31</v>
      </c>
      <c r="AE48" s="92">
        <f>IF(AND(MONTH($C$28)=$R48,YEAR($C$28)=$Q48),1,0)</f>
        <v>0</v>
      </c>
      <c r="AF48" s="45" t="e">
        <f t="shared" si="11"/>
        <v>#N/A</v>
      </c>
      <c r="AG48" s="51" t="e">
        <f t="shared" si="2"/>
        <v>#N/A</v>
      </c>
      <c r="AI48">
        <f t="shared" si="12"/>
        <v>0</v>
      </c>
      <c r="AJ48" s="92">
        <f>IF(AND(MONTH($C$29)=$R48,YEAR($C$29)=$Q48),1,0)</f>
        <v>0</v>
      </c>
      <c r="AK48" s="45" t="e">
        <f t="shared" si="13"/>
        <v>#N/A</v>
      </c>
      <c r="AL48" s="51" t="e">
        <f t="shared" si="3"/>
        <v>#N/A</v>
      </c>
      <c r="AN48">
        <f t="shared" si="14"/>
        <v>0</v>
      </c>
      <c r="AO48" s="92">
        <f>IF(AND(MONTH($C$30)=$R48,YEAR($C$30)=$Q48),1,0)</f>
        <v>0</v>
      </c>
      <c r="AP48" s="45" t="e">
        <f t="shared" si="15"/>
        <v>#N/A</v>
      </c>
      <c r="AQ48" s="51" t="e">
        <f t="shared" si="4"/>
        <v>#N/A</v>
      </c>
      <c r="AS48">
        <f>AN48+AI48+AD48+Y48</f>
        <v>31</v>
      </c>
      <c r="AT48" s="45" t="e">
        <f t="shared" ref="AT48:AU53" si="18">AP48+AK48+AF48+AA48</f>
        <v>#N/A</v>
      </c>
      <c r="AU48" s="51" t="e">
        <f t="shared" si="18"/>
        <v>#N/A</v>
      </c>
      <c r="AV48">
        <f>IF(AS48&gt;S48,1,0)</f>
        <v>0</v>
      </c>
      <c r="AW48">
        <f t="shared" si="16"/>
        <v>0</v>
      </c>
    </row>
    <row r="49" spans="16:50" x14ac:dyDescent="0.35">
      <c r="P49" s="46">
        <v>44866</v>
      </c>
      <c r="Q49" s="49">
        <v>2022</v>
      </c>
      <c r="R49" s="47">
        <v>11</v>
      </c>
      <c r="S49" s="47">
        <v>30</v>
      </c>
      <c r="T49" s="48">
        <v>8.5964010900000026E-2</v>
      </c>
      <c r="U49">
        <f>'Energieprijzen kmo''s'!F34</f>
        <v>0.501</v>
      </c>
      <c r="V49" s="50">
        <v>0.13220000000000001</v>
      </c>
      <c r="W49" s="45" t="e">
        <f>T49*$U$21*0.7</f>
        <v>#N/A</v>
      </c>
      <c r="Y49">
        <f t="shared" si="9"/>
        <v>0</v>
      </c>
      <c r="Z49" s="92">
        <f>IF(AND(MONTH($C$27)=$R49,YEAR($C$27)=$Q49),1,0)</f>
        <v>0</v>
      </c>
      <c r="AA49" s="45" t="e">
        <f t="shared" si="10"/>
        <v>#N/A</v>
      </c>
      <c r="AB49" s="51" t="e">
        <f t="shared" si="1"/>
        <v>#N/A</v>
      </c>
      <c r="AD49">
        <f>IF(OR($C$28="",$E$28=""),0,AE49+MAX(0,_xlfn.DAYS(MIN($E$28,DATE(Q49,$R49,$S49)),MAX($C$28,DATE(Q49,$R49,0)))))</f>
        <v>30</v>
      </c>
      <c r="AE49" s="92">
        <f>IF(AND(MONTH($C$28)=$R49,YEAR($C$28)=$Q49),1,0)</f>
        <v>0</v>
      </c>
      <c r="AF49" s="45" t="e">
        <f t="shared" si="11"/>
        <v>#N/A</v>
      </c>
      <c r="AG49" s="51" t="e">
        <f t="shared" si="2"/>
        <v>#N/A</v>
      </c>
      <c r="AI49">
        <f t="shared" si="12"/>
        <v>0</v>
      </c>
      <c r="AJ49" s="92">
        <f>IF(AND(MONTH($C$29)=$R49,YEAR($C$29)=$Q49),1,0)</f>
        <v>0</v>
      </c>
      <c r="AK49" s="45" t="e">
        <f t="shared" si="13"/>
        <v>#N/A</v>
      </c>
      <c r="AL49" s="51" t="e">
        <f t="shared" si="3"/>
        <v>#N/A</v>
      </c>
      <c r="AN49">
        <f t="shared" si="14"/>
        <v>0</v>
      </c>
      <c r="AO49" s="92">
        <f>IF(AND(MONTH($C$30)=$R49,YEAR($C$30)=$Q49),1,0)</f>
        <v>0</v>
      </c>
      <c r="AP49" s="45" t="e">
        <f t="shared" si="15"/>
        <v>#N/A</v>
      </c>
      <c r="AQ49" s="51" t="e">
        <f t="shared" si="4"/>
        <v>#N/A</v>
      </c>
      <c r="AS49">
        <f>AN49+AI49+AD49+Y49</f>
        <v>30</v>
      </c>
      <c r="AT49" s="45" t="e">
        <f t="shared" si="18"/>
        <v>#N/A</v>
      </c>
      <c r="AU49" s="51" t="e">
        <f t="shared" si="18"/>
        <v>#N/A</v>
      </c>
      <c r="AV49">
        <f>IF(AS49&gt;S49,1,0)</f>
        <v>0</v>
      </c>
      <c r="AW49">
        <f t="shared" si="16"/>
        <v>0</v>
      </c>
    </row>
    <row r="50" spans="16:50" x14ac:dyDescent="0.35">
      <c r="P50" s="46">
        <v>44896</v>
      </c>
      <c r="Q50" s="49">
        <v>2022</v>
      </c>
      <c r="R50" s="47">
        <v>12</v>
      </c>
      <c r="S50" s="47">
        <v>31</v>
      </c>
      <c r="T50" s="48">
        <v>9.5219996700000947E-2</v>
      </c>
      <c r="U50">
        <f>'Energieprijzen kmo''s'!F35</f>
        <v>0.51739999999999997</v>
      </c>
      <c r="V50" s="50">
        <v>0.13220000000000001</v>
      </c>
      <c r="W50" s="45" t="e">
        <f>T50*$U$21*0.7</f>
        <v>#N/A</v>
      </c>
      <c r="Y50">
        <f t="shared" si="9"/>
        <v>0</v>
      </c>
      <c r="Z50" s="92">
        <f>IF(AND(MONTH($C$27)=$R50,YEAR($C$27)=$Q50),1,0)</f>
        <v>0</v>
      </c>
      <c r="AA50" s="45" t="e">
        <f t="shared" si="10"/>
        <v>#N/A</v>
      </c>
      <c r="AB50" s="51" t="e">
        <f t="shared" si="1"/>
        <v>#N/A</v>
      </c>
      <c r="AD50">
        <f>IF(OR($C$28="",$E$28=""),0,AE50+MAX(0,_xlfn.DAYS(MIN($E$28,DATE(Q50,$R50,$S50)),MAX($C$28,DATE(Q50,$R50,0)))))</f>
        <v>31</v>
      </c>
      <c r="AE50" s="92">
        <f>IF(AND(MONTH($C$28)=$R50,YEAR($C$28)=$Q50),1,0)</f>
        <v>0</v>
      </c>
      <c r="AF50" s="45" t="e">
        <f t="shared" si="11"/>
        <v>#N/A</v>
      </c>
      <c r="AG50" s="51" t="e">
        <f t="shared" si="2"/>
        <v>#N/A</v>
      </c>
      <c r="AI50">
        <f t="shared" si="12"/>
        <v>0</v>
      </c>
      <c r="AJ50" s="92">
        <f>IF(AND(MONTH($C$29)=$R50,YEAR($C$29)=$Q50),1,0)</f>
        <v>0</v>
      </c>
      <c r="AK50" s="45" t="e">
        <f t="shared" si="13"/>
        <v>#N/A</v>
      </c>
      <c r="AL50" s="51" t="e">
        <f t="shared" si="3"/>
        <v>#N/A</v>
      </c>
      <c r="AN50">
        <f t="shared" si="14"/>
        <v>0</v>
      </c>
      <c r="AO50" s="92">
        <f>IF(AND(MONTH($C$30)=$R50,YEAR($C$30)=$Q50),1,0)</f>
        <v>0</v>
      </c>
      <c r="AP50" s="45" t="e">
        <f t="shared" si="15"/>
        <v>#N/A</v>
      </c>
      <c r="AQ50" s="51" t="e">
        <f t="shared" si="4"/>
        <v>#N/A</v>
      </c>
      <c r="AS50">
        <f>AN50+AI50+AD50+Y50</f>
        <v>31</v>
      </c>
      <c r="AT50" s="45" t="e">
        <f t="shared" si="18"/>
        <v>#N/A</v>
      </c>
      <c r="AU50" s="51" t="e">
        <f t="shared" si="18"/>
        <v>#N/A</v>
      </c>
      <c r="AV50">
        <f>IF(AS50&gt;S50,1,0)</f>
        <v>0</v>
      </c>
      <c r="AW50">
        <f t="shared" si="16"/>
        <v>0</v>
      </c>
    </row>
    <row r="51" spans="16:50" x14ac:dyDescent="0.35">
      <c r="P51" s="46">
        <v>44927</v>
      </c>
      <c r="Q51" s="49">
        <v>2023</v>
      </c>
      <c r="R51" s="47">
        <v>1</v>
      </c>
      <c r="S51" s="47">
        <v>31</v>
      </c>
      <c r="T51" s="48">
        <v>9.8413167899999876E-2</v>
      </c>
      <c r="U51">
        <f>'Energieprijzen kmo''s'!F36</f>
        <v>0.44900000000000001</v>
      </c>
      <c r="V51" s="50">
        <v>8.3116599999999999E-2</v>
      </c>
      <c r="W51" s="45" t="e">
        <f t="shared" ref="W51:W53" si="19">T51*$U$21*0.7</f>
        <v>#N/A</v>
      </c>
      <c r="Y51">
        <f t="shared" si="9"/>
        <v>0</v>
      </c>
      <c r="Z51" s="92">
        <f>IF(AND(MONTH($C$27)=$R51,YEAR($C$27)=$Q51),1,0)</f>
        <v>0</v>
      </c>
      <c r="AA51" s="45" t="e">
        <f t="shared" si="10"/>
        <v>#N/A</v>
      </c>
      <c r="AB51" s="51" t="e">
        <f t="shared" si="1"/>
        <v>#N/A</v>
      </c>
      <c r="AD51">
        <f>IF(OR($C$28="",$E$28=""),0,AE51+MAX(0,_xlfn.DAYS(MIN($E$28,DATE(Q51,$R51,$S51)),MAX($C$28,DATE(Q51,$R51,0)))))</f>
        <v>31</v>
      </c>
      <c r="AE51" s="92">
        <f>IF(AND(MONTH($C$28)=$R51,YEAR($C$28)=$Q51),1,0)</f>
        <v>0</v>
      </c>
      <c r="AF51" s="45" t="e">
        <f t="shared" si="11"/>
        <v>#N/A</v>
      </c>
      <c r="AG51" s="51" t="e">
        <f t="shared" si="2"/>
        <v>#N/A</v>
      </c>
      <c r="AI51">
        <f t="shared" si="12"/>
        <v>0</v>
      </c>
      <c r="AJ51" s="92">
        <f>IF(AND(MONTH($C$29)=$R51,YEAR($C$29)=$Q51),1,0)</f>
        <v>0</v>
      </c>
      <c r="AK51" s="45" t="e">
        <f t="shared" si="13"/>
        <v>#N/A</v>
      </c>
      <c r="AL51" s="51" t="e">
        <f t="shared" si="3"/>
        <v>#N/A</v>
      </c>
      <c r="AN51">
        <f t="shared" si="14"/>
        <v>0</v>
      </c>
      <c r="AO51" s="92">
        <f>IF(AND(MONTH($C$30)=$R51,YEAR($C$30)=$Q51),1,0)</f>
        <v>0</v>
      </c>
      <c r="AP51" s="45" t="e">
        <f t="shared" si="15"/>
        <v>#N/A</v>
      </c>
      <c r="AQ51" s="51" t="e">
        <f t="shared" si="4"/>
        <v>#N/A</v>
      </c>
      <c r="AS51">
        <f t="shared" ref="AS51:AS53" si="20">AN51+AI51+AD51+Y51</f>
        <v>31</v>
      </c>
      <c r="AT51" s="45" t="e">
        <f t="shared" si="18"/>
        <v>#N/A</v>
      </c>
      <c r="AU51" s="51" t="e">
        <f t="shared" si="18"/>
        <v>#N/A</v>
      </c>
      <c r="AV51">
        <f t="shared" ref="AV51:AV53" si="21">IF(AS51&gt;S51,1,0)</f>
        <v>0</v>
      </c>
      <c r="AW51">
        <f t="shared" si="16"/>
        <v>0</v>
      </c>
    </row>
    <row r="52" spans="16:50" x14ac:dyDescent="0.35">
      <c r="P52" s="46">
        <v>44958</v>
      </c>
      <c r="Q52" s="49">
        <v>2023</v>
      </c>
      <c r="R52" s="47">
        <v>2</v>
      </c>
      <c r="S52" s="47">
        <v>28</v>
      </c>
      <c r="T52" s="48">
        <v>8.7997294099999887E-2</v>
      </c>
      <c r="U52">
        <f>'Energieprijzen kmo''s'!F37</f>
        <v>0.3659</v>
      </c>
      <c r="V52" s="50">
        <v>8.3116599999999999E-2</v>
      </c>
      <c r="W52" s="45" t="e">
        <f t="shared" si="19"/>
        <v>#N/A</v>
      </c>
      <c r="Y52">
        <f t="shared" si="9"/>
        <v>0</v>
      </c>
      <c r="Z52" s="92">
        <f>IF(AND(MONTH($C$27)=$R52,YEAR($C$27)=$Q52),1,0)</f>
        <v>0</v>
      </c>
      <c r="AA52" s="45" t="e">
        <f t="shared" si="10"/>
        <v>#N/A</v>
      </c>
      <c r="AB52" s="51" t="e">
        <f t="shared" si="1"/>
        <v>#N/A</v>
      </c>
      <c r="AD52">
        <f>IF(OR($C$28="",$E$28=""),0,AE52+MAX(0,_xlfn.DAYS(MIN($E$28,DATE(Q52,$R52,$S52)),MAX($C$28,DATE(Q52,$R52,0)))))</f>
        <v>28</v>
      </c>
      <c r="AE52" s="92">
        <f>IF(AND(MONTH($C$28)=$R52,YEAR($C$28)=$Q52),1,0)</f>
        <v>0</v>
      </c>
      <c r="AF52" s="45" t="e">
        <f t="shared" si="11"/>
        <v>#N/A</v>
      </c>
      <c r="AG52" s="51" t="e">
        <f t="shared" si="2"/>
        <v>#N/A</v>
      </c>
      <c r="AI52">
        <f t="shared" si="12"/>
        <v>0</v>
      </c>
      <c r="AJ52" s="92">
        <f>IF(AND(MONTH($C$29)=$R52,YEAR($C$29)=$Q52),1,0)</f>
        <v>0</v>
      </c>
      <c r="AK52" s="45" t="e">
        <f t="shared" si="13"/>
        <v>#N/A</v>
      </c>
      <c r="AL52" s="51" t="e">
        <f t="shared" si="3"/>
        <v>#N/A</v>
      </c>
      <c r="AN52">
        <f t="shared" si="14"/>
        <v>0</v>
      </c>
      <c r="AO52" s="92">
        <f>IF(AND(MONTH($C$30)=$R52,YEAR($C$30)=$Q52),1,0)</f>
        <v>0</v>
      </c>
      <c r="AP52" s="45" t="e">
        <f t="shared" si="15"/>
        <v>#N/A</v>
      </c>
      <c r="AQ52" s="51" t="e">
        <f t="shared" si="4"/>
        <v>#N/A</v>
      </c>
      <c r="AS52">
        <f t="shared" si="20"/>
        <v>28</v>
      </c>
      <c r="AT52" s="45" t="e">
        <f t="shared" si="18"/>
        <v>#N/A</v>
      </c>
      <c r="AU52" s="51" t="e">
        <f t="shared" si="18"/>
        <v>#N/A</v>
      </c>
      <c r="AV52">
        <f t="shared" si="21"/>
        <v>0</v>
      </c>
      <c r="AW52">
        <f t="shared" si="16"/>
        <v>0</v>
      </c>
    </row>
    <row r="53" spans="16:50" x14ac:dyDescent="0.35">
      <c r="P53" s="46">
        <v>44986</v>
      </c>
      <c r="Q53" s="49">
        <v>2023</v>
      </c>
      <c r="R53" s="47">
        <v>3</v>
      </c>
      <c r="S53" s="47">
        <v>31</v>
      </c>
      <c r="T53" s="48">
        <v>9.0909948200000007E-2</v>
      </c>
      <c r="U53">
        <f>'Energieprijzen kmo''s'!F38</f>
        <v>0.37669999999999998</v>
      </c>
      <c r="V53" s="50">
        <v>8.3116599999999999E-2</v>
      </c>
      <c r="W53" s="45" t="e">
        <f t="shared" si="19"/>
        <v>#N/A</v>
      </c>
      <c r="Y53">
        <f t="shared" si="9"/>
        <v>0</v>
      </c>
      <c r="Z53" s="92">
        <f>IF(AND(MONTH($C$27)=$R53,YEAR($C$27)=$Q53),1,0)</f>
        <v>0</v>
      </c>
      <c r="AA53" s="45" t="e">
        <f t="shared" si="10"/>
        <v>#N/A</v>
      </c>
      <c r="AB53" s="51" t="e">
        <f t="shared" si="1"/>
        <v>#N/A</v>
      </c>
      <c r="AD53">
        <f>IF(OR($C$28="",$E$28=""),0,AE53+MAX(0,_xlfn.DAYS(MIN($E$28,DATE(Q53,$R53,$S53)),MAX($C$28,DATE(Q53,$R53,0)))))</f>
        <v>31</v>
      </c>
      <c r="AE53" s="92">
        <f>IF(AND(MONTH($C$28)=$R53,YEAR($C$28)=$Q53),1,0)</f>
        <v>0</v>
      </c>
      <c r="AF53" s="45" t="e">
        <f t="shared" si="11"/>
        <v>#N/A</v>
      </c>
      <c r="AG53" s="51" t="e">
        <f t="shared" si="2"/>
        <v>#N/A</v>
      </c>
      <c r="AI53">
        <f t="shared" si="12"/>
        <v>0</v>
      </c>
      <c r="AJ53" s="92">
        <f>IF(AND(MONTH($C$29)=$R53,YEAR($C$29)=$Q53),1,0)</f>
        <v>0</v>
      </c>
      <c r="AK53" s="45" t="e">
        <f t="shared" si="13"/>
        <v>#N/A</v>
      </c>
      <c r="AL53" s="51" t="e">
        <f t="shared" si="3"/>
        <v>#N/A</v>
      </c>
      <c r="AN53">
        <f t="shared" si="14"/>
        <v>0</v>
      </c>
      <c r="AO53" s="92">
        <f>IF(AND(MONTH($C$30)=$R53,YEAR($C$30)=$Q53),1,0)</f>
        <v>0</v>
      </c>
      <c r="AP53" s="45" t="e">
        <f t="shared" si="15"/>
        <v>#N/A</v>
      </c>
      <c r="AQ53" s="51" t="e">
        <f t="shared" si="4"/>
        <v>#N/A</v>
      </c>
      <c r="AS53">
        <f t="shared" si="20"/>
        <v>31</v>
      </c>
      <c r="AT53" s="45" t="e">
        <f t="shared" si="18"/>
        <v>#N/A</v>
      </c>
      <c r="AU53" s="51" t="e">
        <f t="shared" si="18"/>
        <v>#N/A</v>
      </c>
      <c r="AV53">
        <f t="shared" si="21"/>
        <v>0</v>
      </c>
      <c r="AW53">
        <f t="shared" si="16"/>
        <v>0</v>
      </c>
    </row>
    <row r="55" spans="16:50" x14ac:dyDescent="0.35">
      <c r="P55" s="61" t="s">
        <v>516</v>
      </c>
      <c r="T55" s="62" t="e">
        <f>IF(AT57=0,0,AU57/AT57)</f>
        <v>#N/A</v>
      </c>
      <c r="U55" t="s">
        <v>517</v>
      </c>
      <c r="AQ55" s="2"/>
      <c r="AR55" s="54"/>
      <c r="AT55" s="56"/>
      <c r="AU55" s="57"/>
      <c r="AV55">
        <f>SUM(AV27:AV54)</f>
        <v>0</v>
      </c>
      <c r="AX55" s="2" t="s">
        <v>503</v>
      </c>
    </row>
    <row r="56" spans="16:50" x14ac:dyDescent="0.35">
      <c r="P56" s="61"/>
      <c r="AW56">
        <f>SUM(AW27:AW55)</f>
        <v>0</v>
      </c>
      <c r="AX56" s="2" t="s">
        <v>504</v>
      </c>
    </row>
    <row r="57" spans="16:50" x14ac:dyDescent="0.35">
      <c r="P57" s="61" t="s">
        <v>518</v>
      </c>
      <c r="T57" s="62" t="e">
        <f>IF(AT51=0,0,AU51/AT51)</f>
        <v>#N/A</v>
      </c>
      <c r="U57" t="s">
        <v>517</v>
      </c>
      <c r="AR57" s="54" t="s">
        <v>519</v>
      </c>
      <c r="AT57" s="44" t="e">
        <f>SUM(AT27:AT38)</f>
        <v>#N/A</v>
      </c>
      <c r="AU57" s="63" t="e">
        <f>SUM(AU27:AU38)</f>
        <v>#N/A</v>
      </c>
    </row>
    <row r="58" spans="16:50" x14ac:dyDescent="0.35">
      <c r="P58" s="61" t="s">
        <v>520</v>
      </c>
      <c r="T58" s="62" t="e">
        <f>IF(AT52=0,0,AU52/AT52)</f>
        <v>#N/A</v>
      </c>
      <c r="U58" t="s">
        <v>517</v>
      </c>
    </row>
    <row r="59" spans="16:50" x14ac:dyDescent="0.35">
      <c r="P59" s="61" t="s">
        <v>521</v>
      </c>
      <c r="T59" s="62" t="e">
        <f>IF(AT53=0,0,AU53/AT53)</f>
        <v>#N/A</v>
      </c>
      <c r="U59" t="s">
        <v>517</v>
      </c>
    </row>
    <row r="60" spans="16:50" x14ac:dyDescent="0.35">
      <c r="V60" s="17"/>
      <c r="W60" s="17"/>
      <c r="Y60" s="17"/>
      <c r="Z60" s="17"/>
      <c r="AA60" s="17"/>
      <c r="AB60" s="17"/>
      <c r="AD60" s="17"/>
      <c r="AE60" s="17"/>
      <c r="AF60" s="17"/>
      <c r="AG60" s="17"/>
      <c r="AI60" s="17"/>
      <c r="AJ60" s="17"/>
      <c r="AK60" s="17"/>
      <c r="AL60" s="17"/>
      <c r="AN60" s="17"/>
      <c r="AO60" s="17"/>
      <c r="AP60" s="17"/>
      <c r="AQ60" s="17"/>
      <c r="AU60" s="17"/>
    </row>
    <row r="61" spans="16:50" x14ac:dyDescent="0.35">
      <c r="P61" s="61" t="s">
        <v>522</v>
      </c>
      <c r="T61" s="44" t="e">
        <f>AT27</f>
        <v>#N/A</v>
      </c>
      <c r="U61" t="s">
        <v>496</v>
      </c>
      <c r="AB61" s="11"/>
      <c r="AG61" s="11"/>
      <c r="AL61" s="11"/>
      <c r="AN61" s="11"/>
      <c r="AP61" s="11"/>
      <c r="AQ61" s="11"/>
      <c r="AU61" s="11"/>
    </row>
    <row r="62" spans="16:50" x14ac:dyDescent="0.35">
      <c r="P62" s="61" t="s">
        <v>523</v>
      </c>
      <c r="S62" s="17"/>
      <c r="T62" s="44" t="e">
        <f t="shared" ref="T62:T63" si="22">AT28</f>
        <v>#N/A</v>
      </c>
      <c r="U62" t="s">
        <v>496</v>
      </c>
      <c r="AB62" s="11"/>
      <c r="AG62" s="11"/>
      <c r="AL62" s="11"/>
      <c r="AN62" s="11"/>
      <c r="AP62" s="11"/>
      <c r="AQ62" s="11"/>
      <c r="AU62" s="11"/>
    </row>
    <row r="63" spans="16:50" x14ac:dyDescent="0.35">
      <c r="P63" s="61" t="s">
        <v>524</v>
      </c>
      <c r="Q63" s="13"/>
      <c r="T63" s="44" t="e">
        <f t="shared" si="22"/>
        <v>#N/A</v>
      </c>
      <c r="U63" t="s">
        <v>496</v>
      </c>
    </row>
    <row r="64" spans="16:50" x14ac:dyDescent="0.35">
      <c r="P64" s="13"/>
      <c r="Q64" s="13"/>
      <c r="V64" s="16"/>
      <c r="W64" s="16"/>
      <c r="Y64" s="16"/>
      <c r="Z64" s="16"/>
      <c r="AA64" s="16"/>
      <c r="AB64" s="16"/>
      <c r="AD64" s="16"/>
      <c r="AE64" s="16"/>
      <c r="AF64" s="16"/>
      <c r="AG64" s="16"/>
      <c r="AI64" s="16"/>
      <c r="AJ64" s="16"/>
      <c r="AK64" s="16"/>
      <c r="AL64" s="16"/>
      <c r="AN64" s="16"/>
      <c r="AO64" s="16"/>
      <c r="AP64" s="16"/>
      <c r="AQ64" s="16"/>
      <c r="AU64" s="16"/>
    </row>
    <row r="65" spans="16:47" x14ac:dyDescent="0.35">
      <c r="P65" s="61" t="s">
        <v>525</v>
      </c>
      <c r="T65" s="44" t="e">
        <f>AT51</f>
        <v>#N/A</v>
      </c>
      <c r="U65" t="s">
        <v>496</v>
      </c>
      <c r="V65" s="15"/>
      <c r="W65" s="15"/>
      <c r="Y65" s="15"/>
      <c r="Z65" s="15"/>
      <c r="AA65" s="15"/>
      <c r="AB65" s="15"/>
      <c r="AD65" s="15"/>
      <c r="AE65" s="15"/>
      <c r="AF65" s="15"/>
      <c r="AG65" s="15"/>
      <c r="AI65" s="15"/>
      <c r="AJ65" s="15"/>
      <c r="AK65" s="15"/>
      <c r="AL65" s="15"/>
      <c r="AN65" s="15"/>
      <c r="AO65" s="15"/>
      <c r="AP65" s="15"/>
      <c r="AQ65" s="15"/>
      <c r="AU65" s="15"/>
    </row>
    <row r="66" spans="16:47" x14ac:dyDescent="0.35">
      <c r="P66" s="61" t="s">
        <v>526</v>
      </c>
      <c r="S66" s="17"/>
      <c r="T66" s="44" t="e">
        <f t="shared" ref="T66:T67" si="23">AT52</f>
        <v>#N/A</v>
      </c>
      <c r="U66" t="s">
        <v>496</v>
      </c>
    </row>
    <row r="67" spans="16:47" x14ac:dyDescent="0.35">
      <c r="P67" s="61" t="s">
        <v>527</v>
      </c>
      <c r="Q67" s="13"/>
      <c r="T67" s="44" t="e">
        <f t="shared" si="23"/>
        <v>#N/A</v>
      </c>
      <c r="U67" t="s">
        <v>496</v>
      </c>
    </row>
    <row r="69" spans="16:47" x14ac:dyDescent="0.35">
      <c r="P69" s="13"/>
      <c r="Q69" s="13"/>
      <c r="AB69" s="11"/>
      <c r="AG69" s="11"/>
      <c r="AL69" s="11"/>
      <c r="AN69" s="11"/>
      <c r="AP69" s="11"/>
      <c r="AQ69" s="11"/>
      <c r="AU69" s="11"/>
    </row>
    <row r="70" spans="16:47" x14ac:dyDescent="0.35">
      <c r="P70" s="13"/>
      <c r="Q70" s="13"/>
    </row>
    <row r="71" spans="16:47" x14ac:dyDescent="0.35">
      <c r="P71" s="13"/>
      <c r="Q71" s="13"/>
    </row>
    <row r="72" spans="16:47" x14ac:dyDescent="0.35">
      <c r="P72" s="13"/>
      <c r="Q72" s="13"/>
    </row>
    <row r="74" spans="16:47" x14ac:dyDescent="0.35">
      <c r="P74" s="13"/>
      <c r="Q74" s="13"/>
    </row>
    <row r="75" spans="16:47" x14ac:dyDescent="0.35">
      <c r="P75" s="13"/>
      <c r="Q75" s="13"/>
    </row>
    <row r="76" spans="16:47" x14ac:dyDescent="0.35">
      <c r="P76" s="13"/>
      <c r="Q76" s="13"/>
    </row>
    <row r="77" spans="16:47" x14ac:dyDescent="0.35">
      <c r="P77" s="13"/>
      <c r="Q77" s="13"/>
    </row>
    <row r="78" spans="16:47" x14ac:dyDescent="0.35">
      <c r="P78" s="13"/>
      <c r="Q78" s="13"/>
    </row>
    <row r="79" spans="16:47" x14ac:dyDescent="0.35">
      <c r="P79" s="13"/>
      <c r="Q79" s="13"/>
    </row>
    <row r="80" spans="16:47" x14ac:dyDescent="0.35">
      <c r="P80" s="13"/>
      <c r="Q80" s="13"/>
    </row>
    <row r="81" spans="16:41" x14ac:dyDescent="0.35">
      <c r="P81" s="13"/>
      <c r="Q81" s="13"/>
    </row>
    <row r="82" spans="16:41" x14ac:dyDescent="0.35">
      <c r="P82" s="13"/>
      <c r="Q82" s="13"/>
    </row>
    <row r="83" spans="16:41" x14ac:dyDescent="0.35">
      <c r="S83" s="5"/>
      <c r="T83" s="4"/>
      <c r="U83" s="4"/>
      <c r="V83" s="4"/>
      <c r="W83" s="4"/>
      <c r="Y83" s="4"/>
      <c r="Z83" s="4"/>
      <c r="AA83" s="4"/>
      <c r="AD83" s="4"/>
      <c r="AE83" s="4"/>
      <c r="AF83" s="4"/>
      <c r="AI83" s="4"/>
      <c r="AJ83" s="4"/>
      <c r="AK83" s="4"/>
      <c r="AO83"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2EB5-B287-45AD-AE7F-4623CBEEEDE3}">
  <sheetPr>
    <tabColor theme="9"/>
  </sheetPr>
  <dimension ref="B1:XFC39"/>
  <sheetViews>
    <sheetView showGridLines="0" showRowColHeaders="0" topLeftCell="A19" zoomScale="110" zoomScaleNormal="110" zoomScaleSheetLayoutView="110" workbookViewId="0">
      <selection activeCell="G31" sqref="G31"/>
    </sheetView>
  </sheetViews>
  <sheetFormatPr defaultColWidth="0" defaultRowHeight="14.5"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9" width="15.81640625" customWidth="1"/>
    <col min="10" max="10" width="4.453125" hidden="1" customWidth="1"/>
    <col min="11" max="11" width="2.81640625" hidden="1" customWidth="1"/>
    <col min="12" max="16383" width="8.7265625" hidden="1"/>
    <col min="16384" max="16384" width="0.7265625" customWidth="1"/>
  </cols>
  <sheetData>
    <row r="1" spans="2:9" s="19" customFormat="1" x14ac:dyDescent="0.35"/>
    <row r="2" spans="2:9" s="20" customFormat="1" ht="21" x14ac:dyDescent="0.5">
      <c r="B2" s="20" t="s">
        <v>0</v>
      </c>
    </row>
    <row r="3" spans="2:9" s="19" customFormat="1" x14ac:dyDescent="0.35"/>
    <row r="4" spans="2:9" x14ac:dyDescent="0.35"/>
    <row r="5" spans="2:9" x14ac:dyDescent="0.35"/>
    <row r="6" spans="2:9" ht="26" x14ac:dyDescent="0.6">
      <c r="B6" s="21" t="s">
        <v>534</v>
      </c>
    </row>
    <row r="7" spans="2:9" x14ac:dyDescent="0.35"/>
    <row r="8" spans="2:9" x14ac:dyDescent="0.35"/>
    <row r="9" spans="2:9" ht="15.5" x14ac:dyDescent="0.35">
      <c r="B9" s="32" t="s">
        <v>10</v>
      </c>
    </row>
    <row r="10" spans="2:9" ht="5.15" customHeight="1" x14ac:dyDescent="0.35"/>
    <row r="11" spans="2:9" s="23" customFormat="1" ht="47.15" customHeight="1" x14ac:dyDescent="0.35">
      <c r="B11" s="87" t="s">
        <v>11</v>
      </c>
      <c r="C11" s="87"/>
      <c r="D11" s="87"/>
      <c r="E11" s="87"/>
      <c r="F11" s="87"/>
      <c r="G11" s="88"/>
      <c r="H11" s="88"/>
      <c r="I11" s="88"/>
    </row>
    <row r="12" spans="2:9" s="23" customFormat="1" ht="79.5" customHeight="1" x14ac:dyDescent="0.35">
      <c r="B12" s="87" t="s">
        <v>12</v>
      </c>
      <c r="C12" s="87"/>
      <c r="D12" s="87"/>
      <c r="E12" s="87"/>
      <c r="F12" s="87"/>
      <c r="G12" s="88"/>
      <c r="H12" s="88"/>
      <c r="I12" s="88"/>
    </row>
    <row r="13" spans="2:9" x14ac:dyDescent="0.35"/>
    <row r="14" spans="2:9" x14ac:dyDescent="0.35">
      <c r="B14" s="2" t="s">
        <v>13</v>
      </c>
    </row>
    <row r="15" spans="2:9" ht="5.15" customHeight="1" thickBot="1" x14ac:dyDescent="0.4"/>
    <row r="16" spans="2:9" s="34" customFormat="1" ht="18" customHeight="1" thickBot="1" x14ac:dyDescent="0.4">
      <c r="B16" s="33" t="s">
        <v>14</v>
      </c>
      <c r="G16" s="66">
        <v>44197</v>
      </c>
    </row>
    <row r="17" spans="2:12" s="34" customFormat="1" ht="18" customHeight="1" thickBot="1" x14ac:dyDescent="0.4">
      <c r="B17" s="33" t="s">
        <v>15</v>
      </c>
      <c r="G17" s="66">
        <v>44561</v>
      </c>
    </row>
    <row r="18" spans="2:12" s="34" customFormat="1" ht="18" customHeight="1" thickBot="1" x14ac:dyDescent="0.4">
      <c r="B18" s="33" t="s">
        <v>16</v>
      </c>
      <c r="G18" s="37">
        <f>_xlfn.DAYS(G17,G16)</f>
        <v>364</v>
      </c>
      <c r="I18" s="35"/>
    </row>
    <row r="19" spans="2:12" s="34" customFormat="1" ht="18" customHeight="1" thickBot="1" x14ac:dyDescent="0.4">
      <c r="B19" s="33" t="s">
        <v>17</v>
      </c>
      <c r="G19" s="67">
        <v>50000</v>
      </c>
    </row>
    <row r="20" spans="2:12" ht="5.15" customHeight="1" x14ac:dyDescent="0.35"/>
    <row r="21" spans="2:12" s="34" customFormat="1" ht="18" customHeight="1" x14ac:dyDescent="0.35">
      <c r="B21" s="33"/>
      <c r="C21" s="35" t="str">
        <f>'Berekening gas'!C18</f>
        <v/>
      </c>
    </row>
    <row r="22" spans="2:12" ht="5.15" customHeight="1" x14ac:dyDescent="0.35"/>
    <row r="23" spans="2:12" s="23" customFormat="1" ht="76.5" customHeight="1" x14ac:dyDescent="0.35">
      <c r="B23" s="87" t="s">
        <v>18</v>
      </c>
      <c r="C23" s="87"/>
      <c r="D23" s="87"/>
      <c r="E23" s="87"/>
      <c r="F23" s="87"/>
      <c r="G23" s="88"/>
      <c r="H23" s="88"/>
      <c r="I23" s="88"/>
    </row>
    <row r="24" spans="2:12" s="23" customFormat="1" ht="36.75" customHeight="1" x14ac:dyDescent="0.35">
      <c r="B24" s="87" t="s">
        <v>19</v>
      </c>
      <c r="C24" s="87"/>
      <c r="D24" s="87"/>
      <c r="E24" s="87"/>
      <c r="F24" s="87"/>
      <c r="G24" s="88"/>
      <c r="H24" s="88"/>
      <c r="I24" s="88"/>
    </row>
    <row r="25" spans="2:12" x14ac:dyDescent="0.35">
      <c r="L25" s="13"/>
    </row>
    <row r="26" spans="2:12" x14ac:dyDescent="0.35">
      <c r="C26" s="2" t="s">
        <v>20</v>
      </c>
      <c r="D26" s="2"/>
      <c r="E26" s="2" t="s">
        <v>21</v>
      </c>
      <c r="F26" s="2"/>
      <c r="G26" s="2" t="s">
        <v>22</v>
      </c>
      <c r="H26" s="2"/>
      <c r="I26" s="2" t="s">
        <v>23</v>
      </c>
      <c r="L26" s="11"/>
    </row>
    <row r="27" spans="2:12" s="23" customFormat="1" x14ac:dyDescent="0.35">
      <c r="C27" s="23" t="s">
        <v>24</v>
      </c>
      <c r="E27" s="23" t="s">
        <v>24</v>
      </c>
      <c r="I27" s="23" t="s">
        <v>25</v>
      </c>
    </row>
    <row r="28" spans="2:12" ht="5.15" customHeight="1" thickBot="1" x14ac:dyDescent="0.4"/>
    <row r="29" spans="2:12" ht="18" customHeight="1" thickBot="1" x14ac:dyDescent="0.4">
      <c r="B29" s="33" t="s">
        <v>26</v>
      </c>
      <c r="C29" s="68">
        <v>44197</v>
      </c>
      <c r="D29" s="36"/>
      <c r="E29" s="68">
        <v>44926</v>
      </c>
      <c r="F29" s="36"/>
      <c r="G29" s="68" t="s">
        <v>489</v>
      </c>
      <c r="H29" s="36"/>
      <c r="I29" s="69"/>
    </row>
    <row r="30" spans="2:12" ht="5.5" customHeight="1" thickBot="1" x14ac:dyDescent="0.4">
      <c r="B30" s="33"/>
    </row>
    <row r="31" spans="2:12" ht="18" customHeight="1" thickBot="1" x14ac:dyDescent="0.4">
      <c r="B31" s="33" t="s">
        <v>27</v>
      </c>
      <c r="C31" s="68">
        <v>44927</v>
      </c>
      <c r="D31" s="36"/>
      <c r="E31" s="68">
        <v>45016</v>
      </c>
      <c r="F31" s="36"/>
      <c r="G31" s="68" t="s">
        <v>489</v>
      </c>
      <c r="H31" s="36"/>
      <c r="I31" s="69"/>
    </row>
    <row r="32" spans="2:12" ht="5.5" customHeight="1" thickBot="1" x14ac:dyDescent="0.4">
      <c r="B32" s="33"/>
    </row>
    <row r="33" spans="2:9" ht="18" customHeight="1" thickBot="1" x14ac:dyDescent="0.4">
      <c r="B33" s="33" t="s">
        <v>28</v>
      </c>
      <c r="C33" s="68"/>
      <c r="D33" s="36"/>
      <c r="E33" s="68"/>
      <c r="F33" s="36"/>
      <c r="G33" s="68"/>
      <c r="H33" s="36"/>
      <c r="I33" s="69"/>
    </row>
    <row r="34" spans="2:9" ht="5.5" customHeight="1" thickBot="1" x14ac:dyDescent="0.4">
      <c r="B34" s="33"/>
    </row>
    <row r="35" spans="2:9" ht="18" customHeight="1" thickBot="1" x14ac:dyDescent="0.4">
      <c r="B35" s="33" t="s">
        <v>29</v>
      </c>
      <c r="C35" s="68"/>
      <c r="D35" s="36"/>
      <c r="E35" s="68"/>
      <c r="F35" s="36"/>
      <c r="G35" s="68"/>
      <c r="H35" s="36"/>
      <c r="I35" s="69"/>
    </row>
    <row r="36" spans="2:9" x14ac:dyDescent="0.35"/>
    <row r="37" spans="2:9" x14ac:dyDescent="0.35">
      <c r="C37" s="13" t="str">
        <f>'Berekening gas'!C28</f>
        <v/>
      </c>
      <c r="D37" s="13"/>
      <c r="F37" s="13"/>
      <c r="H37" s="13"/>
    </row>
    <row r="38" spans="2:9" x14ac:dyDescent="0.35">
      <c r="C38" s="13" t="str">
        <f>'Berekening gas'!C29</f>
        <v/>
      </c>
    </row>
    <row r="39" spans="2:9" x14ac:dyDescent="0.35">
      <c r="E39" s="12"/>
    </row>
  </sheetData>
  <sheetProtection algorithmName="SHA-512" hashValue="Vb7s6aQH8g7rO/mPZ9qA9YjHMg2N/chMo7JKs3obYX1Ek1Tha2AjJ5AlvjW38lYRWtQpWyJo8i4DlXT/YTCx3g==" saltValue="WzDxPaGSkmoNimzaZcXdkg==" spinCount="100000" sheet="1" objects="1" scenarios="1"/>
  <mergeCells count="4">
    <mergeCell ref="B23:I23"/>
    <mergeCell ref="B11:I11"/>
    <mergeCell ref="B12:I12"/>
    <mergeCell ref="B24:I24"/>
  </mergeCells>
  <conditionalFormatting sqref="G14">
    <cfRule type="expression" dxfId="19" priority="9">
      <formula>G18&gt;=200</formula>
    </cfRule>
    <cfRule type="expression" dxfId="18" priority="10">
      <formula>G18&lt;200</formula>
    </cfRule>
  </conditionalFormatting>
  <conditionalFormatting sqref="I26:I27">
    <cfRule type="expression" dxfId="17" priority="1">
      <formula>AND($G$29&lt;&gt;"Vaste prijs",$G$31&lt;&gt;"Vaste prijs",$G$33&lt;&gt;"Vaste prijs",$G$35&lt;&gt;"Vaste prijs")</formula>
    </cfRule>
  </conditionalFormatting>
  <conditionalFormatting sqref="I29">
    <cfRule type="expression" dxfId="16" priority="8">
      <formula>$G29&lt;&gt;"Vaste prijs"</formula>
    </cfRule>
  </conditionalFormatting>
  <conditionalFormatting sqref="I31">
    <cfRule type="expression" dxfId="15" priority="4">
      <formula>$G31&lt;&gt;"Vaste prijs"</formula>
    </cfRule>
  </conditionalFormatting>
  <conditionalFormatting sqref="I33">
    <cfRule type="expression" dxfId="14" priority="3">
      <formula>$G33&lt;&gt;"Vaste prijs"</formula>
    </cfRule>
  </conditionalFormatting>
  <conditionalFormatting sqref="I35">
    <cfRule type="expression" dxfId="13" priority="2">
      <formula>$G35&lt;&gt;"Vaste prijs"</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7699200-FC00-46E0-863F-BFDD20CABCC8}">
          <x14:formula1>
            <xm:f>'Berekening gas'!$B$8:$B$9</xm:f>
          </x14:formula1>
          <xm:sqref>G29 G31 G33 G35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E189-6CF0-4300-9381-E11FEFCBFF83}">
  <sheetPr>
    <tabColor theme="9"/>
  </sheetPr>
  <dimension ref="A1:X50"/>
  <sheetViews>
    <sheetView showGridLines="0" showRowColHeaders="0" topLeftCell="A22" zoomScaleNormal="100" zoomScaleSheetLayoutView="110" workbookViewId="0">
      <selection activeCell="J24" sqref="J24"/>
    </sheetView>
  </sheetViews>
  <sheetFormatPr defaultColWidth="0" defaultRowHeight="0" customHeight="1"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12" width="11.7265625" customWidth="1"/>
    <col min="13" max="13" width="3.7265625" customWidth="1"/>
    <col min="14" max="16384" width="9.1796875" hidden="1"/>
  </cols>
  <sheetData>
    <row r="1" spans="2:9" s="19" customFormat="1" ht="14.5" x14ac:dyDescent="0.35"/>
    <row r="2" spans="2:9" s="20" customFormat="1" ht="21" x14ac:dyDescent="0.5">
      <c r="B2" s="20" t="s">
        <v>0</v>
      </c>
    </row>
    <row r="3" spans="2:9" s="19" customFormat="1" ht="14.5" x14ac:dyDescent="0.35"/>
    <row r="4" spans="2:9" ht="14.5" x14ac:dyDescent="0.35"/>
    <row r="5" spans="2:9" ht="14.5" x14ac:dyDescent="0.35"/>
    <row r="6" spans="2:9" ht="26" x14ac:dyDescent="0.6">
      <c r="B6" s="21" t="s">
        <v>30</v>
      </c>
    </row>
    <row r="7" spans="2:9" ht="14.5" x14ac:dyDescent="0.35"/>
    <row r="8" spans="2:9" ht="14.5" x14ac:dyDescent="0.35"/>
    <row r="9" spans="2:9" ht="15.5" x14ac:dyDescent="0.35">
      <c r="B9" s="32" t="s">
        <v>10</v>
      </c>
    </row>
    <row r="10" spans="2:9" ht="5.15" customHeight="1" x14ac:dyDescent="0.35"/>
    <row r="11" spans="2:9" s="23" customFormat="1" ht="46.5" customHeight="1" x14ac:dyDescent="0.35">
      <c r="B11" s="87" t="s">
        <v>31</v>
      </c>
      <c r="C11" s="87"/>
      <c r="D11" s="87"/>
      <c r="E11" s="87"/>
      <c r="F11" s="87"/>
      <c r="G11" s="88"/>
      <c r="H11" s="88"/>
      <c r="I11" s="88"/>
    </row>
    <row r="12" spans="2:9" s="23" customFormat="1" ht="50.25" customHeight="1" x14ac:dyDescent="0.35">
      <c r="B12" s="87" t="s">
        <v>32</v>
      </c>
      <c r="C12" s="87"/>
      <c r="D12" s="87"/>
      <c r="E12" s="87"/>
      <c r="F12" s="87"/>
      <c r="G12" s="88"/>
      <c r="H12" s="88"/>
      <c r="I12" s="88"/>
    </row>
    <row r="13" spans="2:9" s="23" customFormat="1" ht="48.75" customHeight="1" x14ac:dyDescent="0.35">
      <c r="B13" s="87" t="s">
        <v>33</v>
      </c>
      <c r="C13" s="87"/>
      <c r="D13" s="87"/>
      <c r="E13" s="87"/>
      <c r="F13" s="87"/>
      <c r="G13" s="88"/>
      <c r="H13" s="88"/>
      <c r="I13" s="88"/>
    </row>
    <row r="14" spans="2:9" s="23" customFormat="1" ht="95.25" customHeight="1" x14ac:dyDescent="0.35">
      <c r="B14" s="87" t="s">
        <v>34</v>
      </c>
      <c r="C14" s="87"/>
      <c r="D14" s="87"/>
      <c r="E14" s="87"/>
      <c r="F14" s="87"/>
      <c r="G14" s="88"/>
      <c r="H14" s="88"/>
      <c r="I14" s="88"/>
    </row>
    <row r="15" spans="2:9" ht="14.5" x14ac:dyDescent="0.35"/>
    <row r="16" spans="2:9" ht="14.5" x14ac:dyDescent="0.35">
      <c r="B16" s="2" t="s">
        <v>35</v>
      </c>
    </row>
    <row r="17" spans="2:12" ht="5.15" customHeight="1" thickBot="1" x14ac:dyDescent="0.4"/>
    <row r="18" spans="2:12" s="34" customFormat="1" ht="18" customHeight="1" thickBot="1" x14ac:dyDescent="0.4">
      <c r="B18" s="33" t="s">
        <v>14</v>
      </c>
      <c r="G18" s="66"/>
    </row>
    <row r="19" spans="2:12" s="34" customFormat="1" ht="18" customHeight="1" thickBot="1" x14ac:dyDescent="0.4">
      <c r="B19" s="33" t="s">
        <v>15</v>
      </c>
      <c r="G19" s="66"/>
    </row>
    <row r="20" spans="2:12" s="34" customFormat="1" ht="18" customHeight="1" x14ac:dyDescent="0.35">
      <c r="B20" s="33" t="s">
        <v>16</v>
      </c>
      <c r="G20" s="37">
        <f>_xlfn.DAYS(G19,G18)</f>
        <v>0</v>
      </c>
      <c r="I20" s="35"/>
      <c r="J20" s="35"/>
      <c r="K20" s="35"/>
      <c r="L20" s="35"/>
    </row>
    <row r="21" spans="2:12" s="34" customFormat="1" ht="18" customHeight="1" thickBot="1" x14ac:dyDescent="0.4">
      <c r="B21" s="33" t="s">
        <v>36</v>
      </c>
      <c r="G21" s="84">
        <f>G27</f>
        <v>0</v>
      </c>
    </row>
    <row r="22" spans="2:12" s="34" customFormat="1" ht="18" customHeight="1" thickBot="1" x14ac:dyDescent="0.4">
      <c r="B22" s="83" t="s">
        <v>37</v>
      </c>
      <c r="G22" s="67"/>
    </row>
    <row r="23" spans="2:12" s="34" customFormat="1" ht="18" customHeight="1" thickBot="1" x14ac:dyDescent="0.4">
      <c r="B23" s="83" t="s">
        <v>38</v>
      </c>
      <c r="G23" s="67"/>
    </row>
    <row r="24" spans="2:12" s="34" customFormat="1" ht="18" customHeight="1" thickBot="1" x14ac:dyDescent="0.4">
      <c r="B24" s="83" t="s">
        <v>39</v>
      </c>
      <c r="G24" s="67"/>
    </row>
    <row r="25" spans="2:12" s="34" customFormat="1" ht="18" customHeight="1" thickBot="1" x14ac:dyDescent="0.4">
      <c r="B25" s="83" t="s">
        <v>40</v>
      </c>
      <c r="G25" s="67"/>
    </row>
    <row r="26" spans="2:12" ht="5.15" customHeight="1" x14ac:dyDescent="0.35"/>
    <row r="27" spans="2:12" ht="14.5" x14ac:dyDescent="0.35">
      <c r="B27" s="2" t="s">
        <v>41</v>
      </c>
      <c r="G27" s="37">
        <f>G25+G24+G23+G22</f>
        <v>0</v>
      </c>
    </row>
    <row r="28" spans="2:12" ht="5.15" customHeight="1" x14ac:dyDescent="0.35"/>
    <row r="29" spans="2:12" s="34" customFormat="1" ht="18" customHeight="1" x14ac:dyDescent="0.35">
      <c r="B29" s="33"/>
      <c r="C29" s="35" t="str">
        <f>'Berekening elektriciteit'!C22</f>
        <v>Opgelet, de opnameperiode bedraagt minder dan 180 dagen.</v>
      </c>
    </row>
    <row r="30" spans="2:12" ht="5.15" customHeight="1" x14ac:dyDescent="0.35"/>
    <row r="31" spans="2:12" s="23" customFormat="1" ht="76" customHeight="1" x14ac:dyDescent="0.35">
      <c r="B31" s="87" t="s">
        <v>42</v>
      </c>
      <c r="C31" s="87"/>
      <c r="D31" s="87"/>
      <c r="E31" s="87"/>
      <c r="F31" s="87"/>
      <c r="G31" s="88"/>
      <c r="H31" s="88"/>
      <c r="I31" s="88"/>
    </row>
    <row r="32" spans="2:12" s="23" customFormat="1" ht="36.75" customHeight="1" x14ac:dyDescent="0.35">
      <c r="B32" s="87" t="s">
        <v>19</v>
      </c>
      <c r="C32" s="87"/>
      <c r="D32" s="87"/>
      <c r="E32" s="87"/>
      <c r="F32" s="87"/>
      <c r="G32" s="88"/>
      <c r="H32" s="88"/>
      <c r="I32" s="88"/>
    </row>
    <row r="33" spans="2:24" ht="14.5" x14ac:dyDescent="0.35">
      <c r="N33" s="13"/>
      <c r="O33" s="13" t="s">
        <v>43</v>
      </c>
      <c r="T33" s="13" t="s">
        <v>44</v>
      </c>
    </row>
    <row r="34" spans="2:24" ht="14.5" x14ac:dyDescent="0.35">
      <c r="C34" s="2" t="s">
        <v>20</v>
      </c>
      <c r="D34" s="2"/>
      <c r="E34" s="2" t="s">
        <v>21</v>
      </c>
      <c r="F34" s="2"/>
      <c r="G34" s="2" t="s">
        <v>22</v>
      </c>
      <c r="H34" s="2"/>
      <c r="I34" s="2" t="s">
        <v>45</v>
      </c>
      <c r="J34" s="2"/>
      <c r="K34" s="2"/>
      <c r="L34" s="2"/>
      <c r="N34" s="11"/>
      <c r="O34" s="11" t="str">
        <f>IF(OR(O35="Ja",P35="Ja",Q35="Ja",R35="Ja"),"Ja","Neen")</f>
        <v>Neen</v>
      </c>
      <c r="P34" s="13"/>
      <c r="Q34" s="13"/>
      <c r="R34" s="13"/>
      <c r="S34" s="11"/>
    </row>
    <row r="35" spans="2:24" s="23" customFormat="1" ht="14.5" x14ac:dyDescent="0.35">
      <c r="C35" s="23" t="s">
        <v>24</v>
      </c>
      <c r="E35" s="23" t="s">
        <v>24</v>
      </c>
      <c r="I35" s="23" t="s">
        <v>46</v>
      </c>
      <c r="J35" s="23" t="s">
        <v>47</v>
      </c>
      <c r="K35" s="23" t="s">
        <v>48</v>
      </c>
      <c r="L35" s="23" t="s">
        <v>49</v>
      </c>
      <c r="O35" s="11" t="str">
        <f>IF(OR(O37="Ja",O39="Ja",O41="Ja",O43="Ja"),"Ja","Neen")</f>
        <v>Neen</v>
      </c>
      <c r="P35" s="11" t="str">
        <f t="shared" ref="P35:R35" si="0">IF(OR(P37="Ja",P39="Ja",P41="Ja",P43="Ja"),"Ja","Neen")</f>
        <v>Neen</v>
      </c>
      <c r="Q35" s="11" t="str">
        <f t="shared" si="0"/>
        <v>Neen</v>
      </c>
      <c r="R35" s="11" t="str">
        <f t="shared" si="0"/>
        <v>Neen</v>
      </c>
      <c r="S35" s="11"/>
      <c r="T35" s="11"/>
      <c r="U35" s="11"/>
      <c r="V35" s="11"/>
      <c r="W35" s="11"/>
      <c r="X35" s="11" t="str">
        <f>IF(OR(X37="Ja",X39="Ja",X41="Ja",X43="Ja"),"Ja","Neen")</f>
        <v>Neen</v>
      </c>
    </row>
    <row r="36" spans="2:24" ht="5.15" customHeight="1" thickBot="1" x14ac:dyDescent="0.4">
      <c r="O36" s="11"/>
      <c r="P36" s="11"/>
      <c r="Q36" s="11"/>
      <c r="R36" s="11"/>
      <c r="S36" s="11"/>
    </row>
    <row r="37" spans="2:24" ht="18" customHeight="1" thickBot="1" x14ac:dyDescent="0.4">
      <c r="B37" t="s">
        <v>26</v>
      </c>
      <c r="C37" s="68">
        <v>44197</v>
      </c>
      <c r="D37" s="36"/>
      <c r="E37" s="68">
        <v>44561</v>
      </c>
      <c r="F37" s="36"/>
      <c r="G37" s="68" t="s">
        <v>489</v>
      </c>
      <c r="H37" s="36"/>
      <c r="I37" s="69"/>
      <c r="J37" s="69"/>
      <c r="K37" s="69"/>
      <c r="L37" s="69"/>
      <c r="O37" s="11" t="str">
        <f>IF(AND($G22&lt;&gt;0,$G22&lt;&gt;"",$G37="Vaste prijs"),"Ja","Neen")</f>
        <v>Neen</v>
      </c>
      <c r="P37" s="11" t="str">
        <f>IF(AND($G23&lt;&gt;0,$G23&lt;&gt;"",$G37="Vaste prijs"),"Ja","Neen")</f>
        <v>Neen</v>
      </c>
      <c r="Q37" s="11" t="str">
        <f>IF(AND($G24&lt;&gt;0,$G24&lt;&gt;"",$G37="Vaste prijs"),"Ja","Neen")</f>
        <v>Neen</v>
      </c>
      <c r="R37" s="11" t="str">
        <f>IF(AND($G25&lt;&gt;0,$G25&lt;&gt;"",$G37="Vaste prijs"),"Ja","Neen")</f>
        <v>Neen</v>
      </c>
      <c r="S37" s="11"/>
      <c r="T37" s="11" t="str">
        <f>IF(AND($G37="Vaste prijs",OR(I37=0,I37="",O37="Neen")),"Ja","Neen")</f>
        <v>Neen</v>
      </c>
      <c r="U37" s="11" t="str">
        <f t="shared" ref="U37:W37" si="1">IF(AND($G37="Vaste prijs",OR(J37=0,J37="",P37="Neen")),"Ja","Neen")</f>
        <v>Neen</v>
      </c>
      <c r="V37" s="11" t="str">
        <f t="shared" si="1"/>
        <v>Neen</v>
      </c>
      <c r="W37" s="11" t="str">
        <f t="shared" si="1"/>
        <v>Neen</v>
      </c>
      <c r="X37" s="11" t="str">
        <f>IF(OR(T37="Neen",U37="Neen",V37="Neen",W37="Neen"),"Neen","Ja")</f>
        <v>Neen</v>
      </c>
    </row>
    <row r="38" spans="2:24" ht="5.15" customHeight="1" thickBot="1" x14ac:dyDescent="0.4">
      <c r="O38" s="11" t="str">
        <f t="shared" ref="O38:R38" si="2">IF(AND($G23&lt;&gt;0,$G23&lt;&gt;"",$G38="Vaste prijs"),"Ja","Neen")</f>
        <v>Neen</v>
      </c>
      <c r="P38" s="11" t="str">
        <f t="shared" si="2"/>
        <v>Neen</v>
      </c>
      <c r="Q38" s="11" t="str">
        <f t="shared" si="2"/>
        <v>Neen</v>
      </c>
      <c r="R38" s="11" t="str">
        <f t="shared" si="2"/>
        <v>Neen</v>
      </c>
      <c r="S38" s="11"/>
      <c r="T38" s="11"/>
      <c r="U38" s="11"/>
      <c r="V38" s="11"/>
      <c r="W38" s="11"/>
      <c r="X38" s="11"/>
    </row>
    <row r="39" spans="2:24" ht="18" customHeight="1" thickBot="1" x14ac:dyDescent="0.4">
      <c r="B39" t="s">
        <v>27</v>
      </c>
      <c r="C39" s="68">
        <v>44562</v>
      </c>
      <c r="D39" s="36"/>
      <c r="E39" s="68">
        <v>45016</v>
      </c>
      <c r="F39" s="36"/>
      <c r="G39" s="68" t="s">
        <v>489</v>
      </c>
      <c r="H39" s="36"/>
      <c r="I39" s="69"/>
      <c r="J39" s="69"/>
      <c r="K39" s="69"/>
      <c r="L39" s="69"/>
      <c r="O39" s="11" t="str">
        <f>IF(AND($G22&lt;&gt;0,$G22&lt;&gt;"",$G39="Vaste prijs"),"Ja","Neen")</f>
        <v>Neen</v>
      </c>
      <c r="P39" s="11" t="str">
        <f>IF(AND($G23&lt;&gt;0,$G23&lt;&gt;"",$G39="Vaste prijs"),"Ja","Neen")</f>
        <v>Neen</v>
      </c>
      <c r="Q39" s="11" t="str">
        <f>IF(AND($G24&lt;&gt;0,$G24&lt;&gt;"",$G39="Vaste prijs"),"Ja","Neen")</f>
        <v>Neen</v>
      </c>
      <c r="R39" s="11" t="str">
        <f>IF(AND($G25&lt;&gt;0,$G25&lt;&gt;"",$G39="Vaste prijs"),"Ja","Neen")</f>
        <v>Neen</v>
      </c>
      <c r="S39" s="11"/>
      <c r="T39" s="11" t="str">
        <f>IF(AND($G39="Vaste prijs",OR(I39=0,I39="",O39="Neen")),"Ja","Neen")</f>
        <v>Neen</v>
      </c>
      <c r="U39" s="11" t="str">
        <f t="shared" ref="U39" si="3">IF(AND($G39="Vaste prijs",OR(J39=0,J39="",P39="Neen")),"Ja","Neen")</f>
        <v>Neen</v>
      </c>
      <c r="V39" s="11" t="str">
        <f t="shared" ref="V39" si="4">IF(AND($G39="Vaste prijs",OR(K39=0,K39="",Q39="Neen")),"Ja","Neen")</f>
        <v>Neen</v>
      </c>
      <c r="W39" s="11" t="str">
        <f t="shared" ref="W39" si="5">IF(AND($G39="Vaste prijs",OR(L39=0,L39="",R39="Neen")),"Ja","Neen")</f>
        <v>Neen</v>
      </c>
      <c r="X39" s="11" t="str">
        <f t="shared" ref="X39:X43" si="6">IF(OR(T39="Neen",U39="Neen",V39="Neen",W39="Neen"),"Neen","Ja")</f>
        <v>Neen</v>
      </c>
    </row>
    <row r="40" spans="2:24" ht="5.15" customHeight="1" thickBot="1" x14ac:dyDescent="0.4">
      <c r="O40" s="11" t="str">
        <f t="shared" ref="O40:R40" si="7">IF(AND($G25&lt;&gt;0,$G25&lt;&gt;"",$G40="Vaste prijs"),"Ja","Neen")</f>
        <v>Neen</v>
      </c>
      <c r="P40" s="11" t="str">
        <f t="shared" si="7"/>
        <v>Neen</v>
      </c>
      <c r="Q40" s="11" t="str">
        <f t="shared" si="7"/>
        <v>Neen</v>
      </c>
      <c r="R40" s="11" t="str">
        <f t="shared" si="7"/>
        <v>Neen</v>
      </c>
      <c r="S40" s="11"/>
      <c r="T40" s="11"/>
      <c r="U40" s="11"/>
      <c r="V40" s="11"/>
      <c r="W40" s="11"/>
      <c r="X40" s="11"/>
    </row>
    <row r="41" spans="2:24" ht="18" customHeight="1" thickBot="1" x14ac:dyDescent="0.4">
      <c r="B41" t="s">
        <v>28</v>
      </c>
      <c r="C41" s="68"/>
      <c r="D41" s="36"/>
      <c r="E41" s="68"/>
      <c r="F41" s="36"/>
      <c r="G41" s="68"/>
      <c r="H41" s="36"/>
      <c r="I41" s="69"/>
      <c r="J41" s="69"/>
      <c r="K41" s="69"/>
      <c r="L41" s="69"/>
      <c r="O41" s="11" t="str">
        <f>IF(AND($G22&lt;&gt;0,$G22&lt;&gt;"",$G41="Vaste prijs"),"Ja","Neen")</f>
        <v>Neen</v>
      </c>
      <c r="P41" s="11" t="str">
        <f>IF(AND($G23&lt;&gt;0,$G23&lt;&gt;"",$G41="Vaste prijs"),"Ja","Neen")</f>
        <v>Neen</v>
      </c>
      <c r="Q41" s="11" t="str">
        <f t="shared" ref="Q41" si="8">IF(AND($G24&lt;&gt;0,$G24&lt;&gt;"",$G41="Vaste prijs"),"Ja","Neen")</f>
        <v>Neen</v>
      </c>
      <c r="R41" s="11" t="str">
        <f>IF(AND($G25&lt;&gt;0,$G25&lt;&gt;"",$G41="Vaste prijs"),"Ja","Neen")</f>
        <v>Neen</v>
      </c>
      <c r="S41" s="11"/>
      <c r="T41" s="11" t="str">
        <f>IF(AND($G41="Vaste prijs",OR(I41=0,I41="",O41="Neen")),"Ja","Neen")</f>
        <v>Neen</v>
      </c>
      <c r="U41" s="11" t="str">
        <f t="shared" ref="U41" si="9">IF(AND($G41="Vaste prijs",OR(J41=0,J41="",P41="Neen")),"Ja","Neen")</f>
        <v>Neen</v>
      </c>
      <c r="V41" s="11" t="str">
        <f t="shared" ref="V41" si="10">IF(AND($G41="Vaste prijs",OR(K41=0,K41="",Q41="Neen")),"Ja","Neen")</f>
        <v>Neen</v>
      </c>
      <c r="W41" s="11" t="str">
        <f t="shared" ref="W41" si="11">IF(AND($G41="Vaste prijs",OR(L41=0,L41="",R41="Neen")),"Ja","Neen")</f>
        <v>Neen</v>
      </c>
      <c r="X41" s="11" t="str">
        <f t="shared" si="6"/>
        <v>Neen</v>
      </c>
    </row>
    <row r="42" spans="2:24" ht="5.15" customHeight="1" thickBot="1" x14ac:dyDescent="0.4">
      <c r="O42" s="11" t="str">
        <f t="shared" ref="O42:R42" si="12">IF(AND($G27&lt;&gt;0,$G27&lt;&gt;"",$G42="Vaste prijs"),"Ja","Neen")</f>
        <v>Neen</v>
      </c>
      <c r="P42" s="11" t="str">
        <f t="shared" si="12"/>
        <v>Neen</v>
      </c>
      <c r="Q42" s="11" t="str">
        <f t="shared" si="12"/>
        <v>Neen</v>
      </c>
      <c r="R42" s="11" t="str">
        <f t="shared" si="12"/>
        <v>Neen</v>
      </c>
      <c r="S42" s="11"/>
      <c r="T42" s="11"/>
      <c r="U42" s="11"/>
      <c r="V42" s="11"/>
      <c r="W42" s="11"/>
      <c r="X42" s="11"/>
    </row>
    <row r="43" spans="2:24" ht="18" customHeight="1" thickBot="1" x14ac:dyDescent="0.4">
      <c r="B43" t="s">
        <v>29</v>
      </c>
      <c r="C43" s="68"/>
      <c r="D43" s="36"/>
      <c r="E43" s="68"/>
      <c r="F43" s="36"/>
      <c r="G43" s="68"/>
      <c r="H43" s="36"/>
      <c r="I43" s="69"/>
      <c r="J43" s="69"/>
      <c r="K43" s="69"/>
      <c r="L43" s="69"/>
      <c r="O43" s="11" t="str">
        <f>IF(AND($G22&lt;&gt;0,$G22&lt;&gt;"",$G43="Vaste prijs"),"Ja","Neen")</f>
        <v>Neen</v>
      </c>
      <c r="P43" s="11" t="str">
        <f>IF(AND($G23&lt;&gt;0,$G23&lt;&gt;"",$G43="Vaste prijs"),"Ja","Neen")</f>
        <v>Neen</v>
      </c>
      <c r="Q43" s="11" t="str">
        <f>IF(AND($G24&lt;&gt;0,$G24&lt;&gt;"",$G43="Vaste prijs"),"Ja","Neen")</f>
        <v>Neen</v>
      </c>
      <c r="R43" s="11" t="str">
        <f t="shared" ref="R43" si="13">IF(AND($G25&lt;&gt;0,$G25&lt;&gt;"",$G43="Vaste prijs"),"Ja","Neen")</f>
        <v>Neen</v>
      </c>
      <c r="S43" s="11"/>
      <c r="T43" s="11" t="str">
        <f>IF(AND($G43="Vaste prijs",OR(I43=0,I43="",O43="Neen")),"Ja","Neen")</f>
        <v>Neen</v>
      </c>
      <c r="U43" s="11" t="str">
        <f t="shared" ref="U43" si="14">IF(AND($G43="Vaste prijs",OR(J43=0,J43="",P43="Neen")),"Ja","Neen")</f>
        <v>Neen</v>
      </c>
      <c r="V43" s="11" t="str">
        <f t="shared" ref="V43" si="15">IF(AND($G43="Vaste prijs",OR(K43=0,K43="",Q43="Neen")),"Ja","Neen")</f>
        <v>Neen</v>
      </c>
      <c r="W43" s="11" t="str">
        <f t="shared" ref="W43" si="16">IF(AND($G43="Vaste prijs",OR(L43=0,L43="",R43="Neen")),"Ja","Neen")</f>
        <v>Neen</v>
      </c>
      <c r="X43" s="11" t="str">
        <f t="shared" si="6"/>
        <v>Neen</v>
      </c>
    </row>
    <row r="44" spans="2:24" ht="14.5" x14ac:dyDescent="0.35">
      <c r="O44" s="11"/>
      <c r="P44" s="11"/>
      <c r="Q44" s="11"/>
      <c r="R44" s="11"/>
      <c r="S44" s="11"/>
    </row>
    <row r="45" spans="2:24" ht="14.5" x14ac:dyDescent="0.35">
      <c r="C45" s="13" t="str">
        <f>'Berekening elektriciteit'!C32</f>
        <v/>
      </c>
      <c r="D45" s="13"/>
      <c r="F45" s="13"/>
      <c r="H45" s="13"/>
    </row>
    <row r="46" spans="2:24" ht="14.5" x14ac:dyDescent="0.35">
      <c r="C46" s="13" t="str">
        <f>'Berekening elektriciteit'!C33</f>
        <v/>
      </c>
    </row>
    <row r="47" spans="2:24" ht="14.5" x14ac:dyDescent="0.35">
      <c r="C47" s="13" t="str">
        <f>IF(X35="Ja","Eén of meerdere eenheidsprijzen voor vaste contracten ontbreken","")</f>
        <v/>
      </c>
      <c r="E47" s="12"/>
    </row>
    <row r="48" spans="2:24" ht="14.5" customHeight="1" x14ac:dyDescent="0.35"/>
    <row r="49" ht="14.5" customHeight="1" x14ac:dyDescent="0.35"/>
    <row r="50" ht="14.5" customHeight="1" x14ac:dyDescent="0.35"/>
  </sheetData>
  <sheetProtection algorithmName="SHA-512" hashValue="0Srab2U0XM9+jiRsQdsQtp8fs9jEnzwdMxyf/JcfhEIRijlC1OV2rdmztHR07byIJsrBTcEuGsSPzW1Abtn7Gw==" saltValue="iQ7wCZGd84kmcKWj4XrtTg==" spinCount="100000" sheet="1" objects="1" scenarios="1"/>
  <mergeCells count="6">
    <mergeCell ref="B32:I32"/>
    <mergeCell ref="B11:I11"/>
    <mergeCell ref="B12:I12"/>
    <mergeCell ref="B13:I13"/>
    <mergeCell ref="B14:I14"/>
    <mergeCell ref="B31:I31"/>
  </mergeCells>
  <conditionalFormatting sqref="G16">
    <cfRule type="expression" dxfId="12" priority="23">
      <formula>G20&gt;=200</formula>
    </cfRule>
    <cfRule type="expression" dxfId="11" priority="24">
      <formula>G20&lt;200</formula>
    </cfRule>
  </conditionalFormatting>
  <conditionalFormatting sqref="I34:L37 I39:L39 I41:L41 I43:L43">
    <cfRule type="expression" dxfId="10" priority="2">
      <formula>O34="Neen"</formula>
    </cfRule>
  </conditionalFormatting>
  <conditionalFormatting sqref="O34:R35">
    <cfRule type="expression" dxfId="9" priority="3">
      <formula>AND($G$35&lt;&gt;"Vaste prijs",$G$37&lt;&gt;"Vaste prijs",$G$39&lt;&gt;"Vaste prijs",$G$41&lt;&gt;"Vaste prijs")</formula>
    </cfRule>
  </conditionalFormatting>
  <conditionalFormatting sqref="T35:W35">
    <cfRule type="expression" dxfId="8" priority="1">
      <formula>AND($G$35&lt;&gt;"Vaste prijs",$G$37&lt;&gt;"Vaste prijs",$G$39&lt;&gt;"Vaste prijs",$G$41&lt;&gt;"Vaste prijs")</formula>
    </cfRule>
  </conditionalFormatting>
  <pageMargins left="0.7" right="0.7" top="0.75" bottom="0.75" header="0.3" footer="0.3"/>
  <pageSetup paperSize="9" orientation="portrait" r:id="rId1"/>
  <ignoredErrors>
    <ignoredError sqref="G2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D504CF3-01FF-43FC-A6F6-57AF34E134CD}">
          <x14:formula1>
            <xm:f>'Berekening gas'!$B$8:$B$9</xm:f>
          </x14:formula1>
          <xm:sqref>G37:G43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435D4-17E6-41BF-9543-EF0A74A61EB0}">
  <sheetPr>
    <tabColor rgb="FF0070C0"/>
  </sheetPr>
  <dimension ref="A1:K58"/>
  <sheetViews>
    <sheetView showGridLines="0" showRowColHeaders="0" zoomScaleNormal="100" zoomScaleSheetLayoutView="110" workbookViewId="0">
      <selection activeCell="B13" sqref="B13:H13"/>
    </sheetView>
  </sheetViews>
  <sheetFormatPr defaultColWidth="0" defaultRowHeight="0" customHeight="1" zeroHeight="1" x14ac:dyDescent="0.35"/>
  <cols>
    <col min="1" max="1" width="3.7265625" customWidth="1"/>
    <col min="2" max="2" width="18" customWidth="1"/>
    <col min="3" max="3" width="2.81640625" customWidth="1"/>
    <col min="4" max="4" width="19.54296875" customWidth="1"/>
    <col min="5" max="5" width="2.81640625" customWidth="1"/>
    <col min="6" max="6" width="19.54296875" customWidth="1"/>
    <col min="7" max="7" width="2.81640625" customWidth="1"/>
    <col min="8" max="8" width="19.54296875" customWidth="1"/>
    <col min="9" max="9" width="4.453125" customWidth="1"/>
    <col min="10" max="10" width="2.81640625" hidden="1" customWidth="1"/>
    <col min="11" max="16384" width="8.7265625" hidden="1"/>
  </cols>
  <sheetData>
    <row r="1" spans="2:8" s="19" customFormat="1" ht="14.5" x14ac:dyDescent="0.35"/>
    <row r="2" spans="2:8" s="20" customFormat="1" ht="21" x14ac:dyDescent="0.5">
      <c r="B2" s="20" t="s">
        <v>0</v>
      </c>
    </row>
    <row r="3" spans="2:8" s="19" customFormat="1" ht="14.5" x14ac:dyDescent="0.35"/>
    <row r="4" spans="2:8" ht="14.5" x14ac:dyDescent="0.35"/>
    <row r="5" spans="2:8" ht="14.5" x14ac:dyDescent="0.35"/>
    <row r="6" spans="2:8" ht="26" x14ac:dyDescent="0.6">
      <c r="B6" s="21" t="s">
        <v>50</v>
      </c>
    </row>
    <row r="7" spans="2:8" ht="14.5" x14ac:dyDescent="0.35"/>
    <row r="8" spans="2:8" ht="14.5" x14ac:dyDescent="0.35"/>
    <row r="9" spans="2:8" ht="15.5" x14ac:dyDescent="0.35">
      <c r="B9" s="32" t="s">
        <v>51</v>
      </c>
    </row>
    <row r="10" spans="2:8" ht="5.15" customHeight="1" x14ac:dyDescent="0.35"/>
    <row r="11" spans="2:8" s="23" customFormat="1" ht="14.5" x14ac:dyDescent="0.35">
      <c r="B11" s="87" t="s">
        <v>52</v>
      </c>
      <c r="C11" s="87"/>
      <c r="D11" s="87"/>
      <c r="E11" s="87"/>
      <c r="F11" s="87"/>
      <c r="G11" s="87"/>
      <c r="H11" s="88"/>
    </row>
    <row r="12" spans="2:8" s="23" customFormat="1" ht="14.5" x14ac:dyDescent="0.35">
      <c r="B12" s="90" t="s">
        <v>533</v>
      </c>
      <c r="C12" s="90"/>
      <c r="D12" s="87"/>
      <c r="E12" s="87"/>
      <c r="F12" s="87"/>
      <c r="G12" s="87"/>
      <c r="H12" s="88"/>
    </row>
    <row r="13" spans="2:8" s="23" customFormat="1" ht="29.25" customHeight="1" x14ac:dyDescent="0.35">
      <c r="B13" s="90" t="s">
        <v>53</v>
      </c>
      <c r="C13" s="90"/>
      <c r="D13" s="87"/>
      <c r="E13" s="87"/>
      <c r="F13" s="87"/>
      <c r="G13" s="87"/>
      <c r="H13" s="88"/>
    </row>
    <row r="14" spans="2:8" ht="14.5" hidden="1" x14ac:dyDescent="0.35"/>
    <row r="15" spans="2:8" ht="15.5" hidden="1" x14ac:dyDescent="0.35">
      <c r="B15" s="32" t="s">
        <v>54</v>
      </c>
    </row>
    <row r="16" spans="2:8" ht="5.15" customHeight="1" x14ac:dyDescent="0.35"/>
    <row r="17" spans="2:11" ht="14.5" x14ac:dyDescent="0.35"/>
    <row r="18" spans="2:11" ht="18" customHeight="1" x14ac:dyDescent="0.35">
      <c r="B18" s="58" t="s">
        <v>55</v>
      </c>
      <c r="D18" s="2" t="s">
        <v>56</v>
      </c>
      <c r="E18" s="2"/>
      <c r="F18" s="2" t="s">
        <v>57</v>
      </c>
      <c r="G18" s="2"/>
      <c r="H18" s="2" t="s">
        <v>58</v>
      </c>
    </row>
    <row r="19" spans="2:11" ht="5.15" customHeight="1" thickBot="1" x14ac:dyDescent="0.4"/>
    <row r="20" spans="2:11" ht="18" customHeight="1" thickBot="1" x14ac:dyDescent="0.4">
      <c r="B20" s="59" t="s">
        <v>59</v>
      </c>
      <c r="D20" s="65">
        <f>'Berekening gas'!Q61*('Berekening gas'!Q53-1.5*'Berekening gas'!Q$51)</f>
        <v>379.31170206665843</v>
      </c>
      <c r="F20" s="65" t="e">
        <f>'Berekening elektriciteit'!T65*('Berekening elektriciteit'!T57-1.5*'Berekening elektriciteit'!T$55)</f>
        <v>#N/A</v>
      </c>
      <c r="H20" s="65" t="e">
        <f>F20+D20</f>
        <v>#N/A</v>
      </c>
    </row>
    <row r="21" spans="2:11" ht="18" customHeight="1" thickBot="1" x14ac:dyDescent="0.4">
      <c r="B21" s="60" t="s">
        <v>60</v>
      </c>
      <c r="D21" s="65">
        <f>'Berekening gas'!Q62*('Berekening gas'!Q54-1.5*'Berekening gas'!Q$51)</f>
        <v>217.23651383479833</v>
      </c>
      <c r="F21" s="65" t="e">
        <f>'Berekening elektriciteit'!T66*('Berekening elektriciteit'!T58-1.5*'Berekening elektriciteit'!T$55)</f>
        <v>#N/A</v>
      </c>
      <c r="H21" s="65" t="e">
        <f>F21+D21</f>
        <v>#N/A</v>
      </c>
    </row>
    <row r="22" spans="2:11" ht="18" customHeight="1" thickBot="1" x14ac:dyDescent="0.4">
      <c r="B22" s="59" t="s">
        <v>61</v>
      </c>
      <c r="D22" s="65">
        <f>'Berekening gas'!Q63*('Berekening gas'!Q55-1.5*'Berekening gas'!Q$51)</f>
        <v>163.70872147747858</v>
      </c>
      <c r="F22" s="65" t="e">
        <f>'Berekening elektriciteit'!T67*('Berekening elektriciteit'!T59-1.5*'Berekening elektriciteit'!T$55)</f>
        <v>#N/A</v>
      </c>
      <c r="H22" s="65" t="e">
        <f>F22+D22</f>
        <v>#N/A</v>
      </c>
    </row>
    <row r="23" spans="2:11" ht="5.15" customHeight="1" x14ac:dyDescent="0.35"/>
    <row r="24" spans="2:11" ht="14.5" customHeight="1" x14ac:dyDescent="0.35">
      <c r="B24" t="s">
        <v>62</v>
      </c>
    </row>
    <row r="25" spans="2:11" ht="5.15" customHeight="1" thickBot="1" x14ac:dyDescent="0.4"/>
    <row r="26" spans="2:11" ht="18" customHeight="1" thickBot="1" x14ac:dyDescent="0.4">
      <c r="F26" s="2" t="s">
        <v>63</v>
      </c>
      <c r="H26" s="65" t="e">
        <f>H22+H21+H20</f>
        <v>#N/A</v>
      </c>
    </row>
    <row r="27" spans="2:11" ht="14.5" hidden="1" x14ac:dyDescent="0.35">
      <c r="B27" s="58" t="s">
        <v>64</v>
      </c>
      <c r="C27" s="2"/>
      <c r="D27" s="2"/>
      <c r="E27" s="2"/>
      <c r="F27" s="2"/>
      <c r="G27" s="2"/>
      <c r="H27" s="2"/>
      <c r="K27" s="11"/>
    </row>
    <row r="28" spans="2:11" ht="14.5" customHeight="1" x14ac:dyDescent="0.35"/>
    <row r="29" spans="2:11" ht="14.5" customHeight="1" thickBot="1" x14ac:dyDescent="0.4">
      <c r="B29" s="2" t="s">
        <v>65</v>
      </c>
    </row>
    <row r="30" spans="2:11" ht="18" customHeight="1" thickBot="1" x14ac:dyDescent="0.4">
      <c r="B30" t="s">
        <v>66</v>
      </c>
      <c r="H30" s="65" t="e">
        <f>0.25*H26</f>
        <v>#N/A</v>
      </c>
    </row>
    <row r="31" spans="2:11" ht="18" customHeight="1" thickBot="1" x14ac:dyDescent="0.4">
      <c r="B31" t="s">
        <v>67</v>
      </c>
      <c r="H31" s="65" t="e">
        <f>0.3*H26</f>
        <v>#N/A</v>
      </c>
    </row>
    <row r="32" spans="2:11" ht="18" customHeight="1" thickBot="1" x14ac:dyDescent="0.4">
      <c r="B32" t="s">
        <v>68</v>
      </c>
      <c r="H32" s="65" t="e">
        <f>0.35*H26</f>
        <v>#N/A</v>
      </c>
    </row>
    <row r="33" ht="14.5" customHeight="1" x14ac:dyDescent="0.35"/>
    <row r="34" ht="14.5" customHeight="1" x14ac:dyDescent="0.35"/>
    <row r="35" ht="14.5" customHeight="1" x14ac:dyDescent="0.35"/>
    <row r="36" ht="14.5" hidden="1" customHeight="1" x14ac:dyDescent="0.35"/>
    <row r="37" ht="14.5" hidden="1" customHeight="1" x14ac:dyDescent="0.35"/>
    <row r="38" ht="14.5" hidden="1" customHeight="1" x14ac:dyDescent="0.35"/>
    <row r="39" ht="14.5" hidden="1" customHeight="1" x14ac:dyDescent="0.35"/>
    <row r="40" ht="14.5" hidden="1" customHeight="1" x14ac:dyDescent="0.35"/>
    <row r="41" ht="14.5" hidden="1" customHeight="1" x14ac:dyDescent="0.35"/>
    <row r="42" ht="14.5" hidden="1" customHeight="1" x14ac:dyDescent="0.35"/>
    <row r="43" ht="14.5" hidden="1" customHeight="1" x14ac:dyDescent="0.35"/>
    <row r="44" ht="14.5" hidden="1" customHeight="1" x14ac:dyDescent="0.35"/>
    <row r="45" ht="14.5" hidden="1" customHeight="1" x14ac:dyDescent="0.35"/>
    <row r="46" ht="14.5" hidden="1" customHeight="1" x14ac:dyDescent="0.35"/>
    <row r="47" ht="14.5" hidden="1" customHeight="1" x14ac:dyDescent="0.35"/>
    <row r="48" ht="14.5" hidden="1" customHeight="1" x14ac:dyDescent="0.35"/>
    <row r="49" ht="14.5" hidden="1" customHeight="1" x14ac:dyDescent="0.35"/>
    <row r="50" ht="14.5" hidden="1" customHeight="1" x14ac:dyDescent="0.35"/>
    <row r="51" ht="14.5" hidden="1" customHeight="1" x14ac:dyDescent="0.35"/>
    <row r="52" ht="14.5" hidden="1" customHeight="1" x14ac:dyDescent="0.35"/>
    <row r="53" ht="14.5" hidden="1" customHeight="1" x14ac:dyDescent="0.35"/>
    <row r="54" ht="14.5" hidden="1" customHeight="1" x14ac:dyDescent="0.35"/>
    <row r="55" ht="14.5" hidden="1" customHeight="1" x14ac:dyDescent="0.35"/>
    <row r="56" ht="14.5" hidden="1" customHeight="1" x14ac:dyDescent="0.35"/>
    <row r="57" ht="14.5" hidden="1" customHeight="1" x14ac:dyDescent="0.35"/>
    <row r="58" ht="14.5" hidden="1" customHeight="1" x14ac:dyDescent="0.35"/>
  </sheetData>
  <sheetProtection algorithmName="SHA-512" hashValue="BmW0W5ObwU5CR21WfIUZD/Dxr7sZ8gLpKnEeDy9GLY62dp8+/5D+CONtn0gOMIhHf688akc1hrBX4rVgz035Yw==" saltValue="76+RV4VFSDW/4MDpjZ0lUw==" spinCount="100000" sheet="1" objects="1" scenarios="1"/>
  <mergeCells count="3">
    <mergeCell ref="B11:H11"/>
    <mergeCell ref="B12:H12"/>
    <mergeCell ref="B13:H13"/>
  </mergeCells>
  <conditionalFormatting sqref="H15">
    <cfRule type="expression" dxfId="7" priority="18">
      <formula>#REF!&gt;=200</formula>
    </cfRule>
    <cfRule type="expression" dxfId="6" priority="19">
      <formula>#REF!&lt;200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C31E-1663-4309-BA33-62E74E3D63B4}">
  <sheetPr>
    <tabColor rgb="FF0070C0"/>
  </sheetPr>
  <dimension ref="B1:XFC84"/>
  <sheetViews>
    <sheetView showGridLines="0" topLeftCell="A10" zoomScaleNormal="100" zoomScaleSheetLayoutView="110" workbookViewId="0">
      <selection activeCell="B36" sqref="B36"/>
    </sheetView>
  </sheetViews>
  <sheetFormatPr defaultColWidth="0" defaultRowHeight="0" customHeight="1" zeroHeight="1" x14ac:dyDescent="0.35"/>
  <cols>
    <col min="1" max="1" width="3.7265625" customWidth="1"/>
    <col min="2" max="2" width="10.54296875" customWidth="1"/>
    <col min="3" max="3" width="15.81640625" customWidth="1"/>
    <col min="4" max="4" width="2.81640625" customWidth="1"/>
    <col min="5" max="5" width="15.81640625" customWidth="1"/>
    <col min="6" max="6" width="2.81640625" customWidth="1"/>
    <col min="7" max="7" width="15.81640625" customWidth="1"/>
    <col min="8" max="8" width="2.81640625" customWidth="1"/>
    <col min="9" max="9" width="15.81640625" customWidth="1"/>
    <col min="10" max="10" width="4.453125" hidden="1" customWidth="1"/>
    <col min="11" max="11" width="2.81640625" hidden="1" customWidth="1"/>
    <col min="12" max="16383" width="8.7265625" hidden="1"/>
    <col min="16384" max="16384" width="1" customWidth="1"/>
  </cols>
  <sheetData>
    <row r="1" spans="2:12" s="19" customFormat="1" ht="14.5" x14ac:dyDescent="0.35"/>
    <row r="2" spans="2:12" s="20" customFormat="1" ht="21" x14ac:dyDescent="0.5">
      <c r="B2" s="20" t="s">
        <v>0</v>
      </c>
    </row>
    <row r="3" spans="2:12" s="19" customFormat="1" ht="14.5" x14ac:dyDescent="0.35"/>
    <row r="4" spans="2:12" ht="14.5" x14ac:dyDescent="0.35"/>
    <row r="5" spans="2:12" ht="14.5" x14ac:dyDescent="0.35"/>
    <row r="6" spans="2:12" ht="26" x14ac:dyDescent="0.6">
      <c r="B6" s="21" t="s">
        <v>69</v>
      </c>
    </row>
    <row r="7" spans="2:12" ht="14.5" x14ac:dyDescent="0.35"/>
    <row r="8" spans="2:12" ht="14.5" x14ac:dyDescent="0.35"/>
    <row r="9" spans="2:12" s="23" customFormat="1" ht="28.5" customHeight="1" x14ac:dyDescent="0.35">
      <c r="B9" s="87" t="s">
        <v>70</v>
      </c>
      <c r="C9" s="87"/>
      <c r="D9" s="87"/>
      <c r="E9" s="87"/>
      <c r="F9" s="87"/>
      <c r="G9" s="88"/>
      <c r="H9" s="88"/>
      <c r="I9" s="88"/>
    </row>
    <row r="10" spans="2:12" ht="14.5" x14ac:dyDescent="0.35">
      <c r="L10" s="13"/>
    </row>
    <row r="11" spans="2:12" ht="18.5" x14ac:dyDescent="0.45">
      <c r="B11" s="77" t="s">
        <v>71</v>
      </c>
      <c r="L11" s="13"/>
    </row>
    <row r="12" spans="2:12" ht="14.5" x14ac:dyDescent="0.35">
      <c r="L12" s="13"/>
    </row>
    <row r="13" spans="2:12" ht="14.5" x14ac:dyDescent="0.35">
      <c r="B13" s="58" t="s">
        <v>72</v>
      </c>
      <c r="C13" s="2"/>
      <c r="D13" s="2"/>
      <c r="E13" s="2"/>
      <c r="F13" s="2"/>
      <c r="G13" s="2"/>
      <c r="H13" s="2"/>
      <c r="I13" s="2"/>
      <c r="L13" s="11"/>
    </row>
    <row r="14" spans="2:12" ht="5.15" customHeight="1" thickBot="1" x14ac:dyDescent="0.4"/>
    <row r="15" spans="2:12" ht="15" thickBot="1" x14ac:dyDescent="0.4">
      <c r="B15" s="91" t="s">
        <v>73</v>
      </c>
      <c r="C15" s="88"/>
      <c r="D15" s="88"/>
      <c r="E15" s="88"/>
      <c r="F15" s="88"/>
      <c r="G15" s="88"/>
      <c r="H15" s="36"/>
      <c r="I15" s="78" t="e">
        <f>I20+I25</f>
        <v>#N/A</v>
      </c>
    </row>
    <row r="16" spans="2:12" ht="14.5" x14ac:dyDescent="0.35">
      <c r="B16" s="91" t="s">
        <v>74</v>
      </c>
      <c r="C16" s="88"/>
      <c r="D16" s="88"/>
      <c r="E16" s="88"/>
      <c r="F16" s="88"/>
      <c r="G16" s="88"/>
      <c r="H16" s="36"/>
      <c r="I16" s="82"/>
    </row>
    <row r="17" spans="2:12" ht="14.5" customHeight="1" x14ac:dyDescent="0.35">
      <c r="G17" s="2"/>
    </row>
    <row r="18" spans="2:12" ht="15" thickBot="1" x14ac:dyDescent="0.4">
      <c r="B18" s="58" t="s">
        <v>536</v>
      </c>
      <c r="C18" s="2"/>
      <c r="D18" s="2"/>
      <c r="E18" s="2"/>
      <c r="F18" s="2"/>
      <c r="G18" s="2"/>
      <c r="H18" s="2"/>
      <c r="I18" s="2"/>
      <c r="L18" s="11"/>
    </row>
    <row r="19" spans="2:12" ht="18" customHeight="1" thickBot="1" x14ac:dyDescent="0.4">
      <c r="B19" s="29" t="s">
        <v>537</v>
      </c>
      <c r="G19" s="2"/>
      <c r="H19" s="36"/>
      <c r="I19" s="70">
        <f>'Berekening gas'!AQ53</f>
        <v>50268.391437241684</v>
      </c>
    </row>
    <row r="20" spans="2:12" ht="18" customHeight="1" thickBot="1" x14ac:dyDescent="0.4">
      <c r="B20" s="29" t="s">
        <v>538</v>
      </c>
      <c r="G20" s="2"/>
      <c r="H20" s="36"/>
      <c r="I20" s="78">
        <f>'Berekening gas'!AR53</f>
        <v>2635.8532224277387</v>
      </c>
    </row>
    <row r="21" spans="2:12" ht="18" hidden="1" customHeight="1" x14ac:dyDescent="0.35">
      <c r="B21" s="29" t="s">
        <v>75</v>
      </c>
      <c r="G21" s="2"/>
      <c r="H21" s="36"/>
      <c r="I21" s="79">
        <f>I20/I19</f>
        <v>5.2435599132279943E-2</v>
      </c>
    </row>
    <row r="22" spans="2:12" ht="14.5" x14ac:dyDescent="0.35">
      <c r="C22" s="13" t="str">
        <f>'Berekening elektriciteit'!C32</f>
        <v/>
      </c>
      <c r="D22" s="13"/>
      <c r="F22" s="13"/>
      <c r="G22" s="2"/>
      <c r="H22" s="13"/>
      <c r="I22" s="80"/>
    </row>
    <row r="23" spans="2:12" ht="15" thickBot="1" x14ac:dyDescent="0.4">
      <c r="B23" s="58" t="s">
        <v>76</v>
      </c>
      <c r="C23" s="2"/>
      <c r="D23" s="2"/>
      <c r="E23" s="2"/>
      <c r="F23" s="2"/>
      <c r="G23" s="2"/>
      <c r="H23" s="2"/>
      <c r="I23" s="81"/>
      <c r="L23" s="11"/>
    </row>
    <row r="24" spans="2:12" ht="18" customHeight="1" thickBot="1" x14ac:dyDescent="0.4">
      <c r="B24" s="29" t="s">
        <v>77</v>
      </c>
      <c r="G24" s="2"/>
      <c r="H24" s="36"/>
      <c r="I24" s="70" t="e">
        <f>'Berekening elektriciteit'!AT57</f>
        <v>#N/A</v>
      </c>
    </row>
    <row r="25" spans="2:12" ht="18" customHeight="1" thickBot="1" x14ac:dyDescent="0.4">
      <c r="B25" s="29" t="s">
        <v>78</v>
      </c>
      <c r="G25" s="2"/>
      <c r="H25" s="36"/>
      <c r="I25" s="78" t="e">
        <f>'Berekening elektriciteit'!AU57</f>
        <v>#N/A</v>
      </c>
    </row>
    <row r="26" spans="2:12" ht="18" hidden="1" customHeight="1" x14ac:dyDescent="0.35">
      <c r="B26" s="29" t="s">
        <v>79</v>
      </c>
      <c r="G26" s="2"/>
      <c r="H26" s="36"/>
      <c r="I26" s="64" t="e">
        <f>I25/I24</f>
        <v>#N/A</v>
      </c>
    </row>
    <row r="27" spans="2:12" ht="14.5" customHeight="1" x14ac:dyDescent="0.35">
      <c r="G27" s="2"/>
    </row>
    <row r="28" spans="2:12" ht="18.5" x14ac:dyDescent="0.45">
      <c r="B28" s="77" t="s">
        <v>80</v>
      </c>
      <c r="L28" s="13"/>
    </row>
    <row r="29" spans="2:12" ht="14.5" x14ac:dyDescent="0.35">
      <c r="L29" s="13"/>
    </row>
    <row r="30" spans="2:12" ht="15" thickBot="1" x14ac:dyDescent="0.4">
      <c r="B30" s="58" t="s">
        <v>535</v>
      </c>
      <c r="C30" s="2"/>
      <c r="D30" s="2"/>
      <c r="E30" s="2"/>
      <c r="F30" s="2"/>
      <c r="G30" s="2"/>
      <c r="H30" s="2"/>
      <c r="I30" s="2"/>
      <c r="L30" s="11"/>
    </row>
    <row r="31" spans="2:12" ht="18" customHeight="1" thickBot="1" x14ac:dyDescent="0.4">
      <c r="B31" s="59" t="s">
        <v>81</v>
      </c>
      <c r="G31" s="2"/>
      <c r="H31" s="36"/>
      <c r="I31" s="78">
        <f>'Berekening gas'!Q53*I36</f>
        <v>876.99053432497328</v>
      </c>
    </row>
    <row r="32" spans="2:12" ht="18" customHeight="1" thickBot="1" x14ac:dyDescent="0.4">
      <c r="B32" s="60" t="s">
        <v>82</v>
      </c>
      <c r="G32" s="2"/>
      <c r="H32" s="36"/>
      <c r="I32" s="78">
        <f>'Berekening gas'!Q54*I37</f>
        <v>636.56940513635152</v>
      </c>
    </row>
    <row r="33" spans="2:12" ht="18" customHeight="1" thickBot="1" x14ac:dyDescent="0.4">
      <c r="B33" s="59" t="s">
        <v>83</v>
      </c>
      <c r="G33" s="2"/>
      <c r="H33" s="36"/>
      <c r="I33" s="78">
        <f>'Berekening gas'!Q55*I38</f>
        <v>515.07138222772721</v>
      </c>
    </row>
    <row r="34" spans="2:12" ht="14.5" x14ac:dyDescent="0.35">
      <c r="E34" s="12"/>
      <c r="G34" s="2"/>
    </row>
    <row r="35" spans="2:12" ht="15" thickBot="1" x14ac:dyDescent="0.4">
      <c r="B35" s="58" t="s">
        <v>539</v>
      </c>
      <c r="C35" s="2"/>
      <c r="D35" s="2"/>
      <c r="E35" s="2"/>
      <c r="F35" s="2"/>
      <c r="G35" s="2"/>
      <c r="H35" s="2"/>
      <c r="I35" s="2"/>
      <c r="L35" s="11"/>
    </row>
    <row r="36" spans="2:12" ht="18" customHeight="1" thickBot="1" x14ac:dyDescent="0.4">
      <c r="B36" s="59" t="s">
        <v>59</v>
      </c>
      <c r="G36" s="2"/>
      <c r="H36" s="36"/>
      <c r="I36" s="70">
        <f>'Berekening gas'!Q61</f>
        <v>6327.4930326477152</v>
      </c>
    </row>
    <row r="37" spans="2:12" ht="18" customHeight="1" thickBot="1" x14ac:dyDescent="0.4">
      <c r="B37" s="60" t="s">
        <v>60</v>
      </c>
      <c r="G37" s="2"/>
      <c r="H37" s="36"/>
      <c r="I37" s="70">
        <f>'Berekening gas'!Q62</f>
        <v>5331.4020530682701</v>
      </c>
    </row>
    <row r="38" spans="2:12" ht="18" customHeight="1" thickBot="1" x14ac:dyDescent="0.4">
      <c r="B38" s="59" t="s">
        <v>61</v>
      </c>
      <c r="G38" s="2"/>
      <c r="H38" s="36"/>
      <c r="I38" s="70">
        <f>'Berekening gas'!Q63</f>
        <v>4467.2279464677122</v>
      </c>
    </row>
    <row r="39" spans="2:12" ht="5.15" customHeight="1" x14ac:dyDescent="0.35"/>
    <row r="40" spans="2:12" ht="14.5" customHeight="1" x14ac:dyDescent="0.35">
      <c r="B40" t="s">
        <v>62</v>
      </c>
    </row>
    <row r="41" spans="2:12" ht="14.5" customHeight="1" thickBot="1" x14ac:dyDescent="0.4">
      <c r="G41" s="2"/>
    </row>
    <row r="42" spans="2:12" ht="18" customHeight="1" thickBot="1" x14ac:dyDescent="0.4">
      <c r="B42" s="59" t="s">
        <v>84</v>
      </c>
      <c r="G42" s="2"/>
      <c r="H42" s="36"/>
      <c r="I42" s="70">
        <f>'Berekening gas'!Q57</f>
        <v>9039.2757609253076</v>
      </c>
    </row>
    <row r="43" spans="2:12" ht="18" customHeight="1" thickBot="1" x14ac:dyDescent="0.4">
      <c r="B43" s="60" t="s">
        <v>85</v>
      </c>
      <c r="G43" s="2"/>
      <c r="H43" s="36"/>
      <c r="I43" s="70">
        <f>'Berekening gas'!Q58</f>
        <v>7616.2886472403861</v>
      </c>
    </row>
    <row r="44" spans="2:12" ht="18" customHeight="1" thickBot="1" x14ac:dyDescent="0.4">
      <c r="B44" s="59" t="s">
        <v>86</v>
      </c>
      <c r="G44" s="2"/>
      <c r="H44" s="36"/>
      <c r="I44" s="70">
        <f>'Berekening gas'!Q59</f>
        <v>6381.7542092395897</v>
      </c>
    </row>
    <row r="45" spans="2:12" ht="14.5" customHeight="1" x14ac:dyDescent="0.35"/>
    <row r="46" spans="2:12" ht="15" thickBot="1" x14ac:dyDescent="0.4">
      <c r="B46" s="58" t="s">
        <v>87</v>
      </c>
      <c r="C46" s="2"/>
      <c r="D46" s="2"/>
      <c r="E46" s="2"/>
      <c r="F46" s="2"/>
      <c r="G46" s="2"/>
      <c r="H46" s="2"/>
      <c r="I46" s="2"/>
      <c r="L46" s="11"/>
    </row>
    <row r="47" spans="2:12" ht="18" customHeight="1" thickBot="1" x14ac:dyDescent="0.4">
      <c r="B47" s="59" t="s">
        <v>81</v>
      </c>
      <c r="G47" s="2"/>
      <c r="H47" s="36"/>
      <c r="I47" s="78" t="e">
        <f>'Berekening elektriciteit'!T57*I52</f>
        <v>#N/A</v>
      </c>
    </row>
    <row r="48" spans="2:12" ht="18" customHeight="1" thickBot="1" x14ac:dyDescent="0.4">
      <c r="B48" s="60" t="s">
        <v>82</v>
      </c>
      <c r="G48" s="2"/>
      <c r="H48" s="36"/>
      <c r="I48" s="78" t="e">
        <f>'Berekening elektriciteit'!T58*I53</f>
        <v>#N/A</v>
      </c>
    </row>
    <row r="49" spans="2:12" ht="18" customHeight="1" thickBot="1" x14ac:dyDescent="0.4">
      <c r="B49" s="59" t="s">
        <v>83</v>
      </c>
      <c r="G49" s="2"/>
      <c r="H49" s="36"/>
      <c r="I49" s="78" t="e">
        <f>'Berekening elektriciteit'!T59*I54</f>
        <v>#N/A</v>
      </c>
    </row>
    <row r="50" spans="2:12" ht="14.5" x14ac:dyDescent="0.35">
      <c r="E50" s="12"/>
      <c r="G50" s="2"/>
    </row>
    <row r="51" spans="2:12" ht="15" thickBot="1" x14ac:dyDescent="0.4">
      <c r="B51" s="58" t="s">
        <v>88</v>
      </c>
      <c r="C51" s="2"/>
      <c r="D51" s="2"/>
      <c r="E51" s="2"/>
      <c r="F51" s="2"/>
      <c r="G51" s="2"/>
      <c r="H51" s="2"/>
      <c r="I51" s="2"/>
      <c r="L51" s="11"/>
    </row>
    <row r="52" spans="2:12" ht="18" customHeight="1" thickBot="1" x14ac:dyDescent="0.4">
      <c r="B52" s="59" t="s">
        <v>59</v>
      </c>
      <c r="G52" s="2"/>
      <c r="H52" s="36"/>
      <c r="I52" s="70" t="e">
        <f>'Berekening elektriciteit'!T65</f>
        <v>#N/A</v>
      </c>
    </row>
    <row r="53" spans="2:12" ht="18" customHeight="1" thickBot="1" x14ac:dyDescent="0.4">
      <c r="B53" s="60" t="s">
        <v>60</v>
      </c>
      <c r="G53" s="2"/>
      <c r="H53" s="36"/>
      <c r="I53" s="70" t="e">
        <f>'Berekening elektriciteit'!T66</f>
        <v>#N/A</v>
      </c>
    </row>
    <row r="54" spans="2:12" ht="18" customHeight="1" thickBot="1" x14ac:dyDescent="0.4">
      <c r="B54" s="59" t="s">
        <v>61</v>
      </c>
      <c r="G54" s="2"/>
      <c r="H54" s="36"/>
      <c r="I54" s="70" t="e">
        <f>'Berekening elektriciteit'!T67</f>
        <v>#N/A</v>
      </c>
    </row>
    <row r="55" spans="2:12" ht="5.15" customHeight="1" x14ac:dyDescent="0.35"/>
    <row r="56" spans="2:12" ht="14.5" customHeight="1" x14ac:dyDescent="0.35">
      <c r="B56" t="s">
        <v>62</v>
      </c>
    </row>
    <row r="57" spans="2:12" ht="14.5" customHeight="1" thickBot="1" x14ac:dyDescent="0.4"/>
    <row r="58" spans="2:12" ht="18" customHeight="1" thickBot="1" x14ac:dyDescent="0.4">
      <c r="B58" s="59" t="s">
        <v>84</v>
      </c>
      <c r="G58" s="2"/>
      <c r="H58" s="36"/>
      <c r="I58" s="70" t="e">
        <f>'Berekening elektriciteit'!T61</f>
        <v>#N/A</v>
      </c>
    </row>
    <row r="59" spans="2:12" ht="18" customHeight="1" thickBot="1" x14ac:dyDescent="0.4">
      <c r="B59" s="60" t="s">
        <v>85</v>
      </c>
      <c r="G59" s="2"/>
      <c r="H59" s="36"/>
      <c r="I59" s="70" t="e">
        <f>'Berekening elektriciteit'!T62</f>
        <v>#N/A</v>
      </c>
    </row>
    <row r="60" spans="2:12" ht="18" customHeight="1" thickBot="1" x14ac:dyDescent="0.4">
      <c r="B60" s="59" t="s">
        <v>86</v>
      </c>
      <c r="G60" s="2"/>
      <c r="H60" s="36"/>
      <c r="I60" s="70" t="e">
        <f>'Berekening elektriciteit'!T63</f>
        <v>#N/A</v>
      </c>
    </row>
    <row r="61" spans="2:12" ht="14.5" customHeight="1" x14ac:dyDescent="0.35"/>
    <row r="62" spans="2:12" ht="14.5" customHeight="1" x14ac:dyDescent="0.35"/>
    <row r="63" spans="2:12" ht="14.5" customHeight="1" x14ac:dyDescent="0.35"/>
    <row r="64" spans="2:12" ht="14.5" hidden="1" customHeight="1" x14ac:dyDescent="0.35"/>
    <row r="65" ht="14.5" hidden="1" customHeight="1" x14ac:dyDescent="0.35"/>
    <row r="66" ht="14.5" hidden="1" customHeight="1" x14ac:dyDescent="0.35"/>
    <row r="67" ht="14.5" hidden="1" customHeight="1" x14ac:dyDescent="0.35"/>
    <row r="68" ht="14.5" hidden="1" customHeight="1" x14ac:dyDescent="0.35"/>
    <row r="69" ht="14.5" hidden="1" customHeight="1" x14ac:dyDescent="0.35"/>
    <row r="70" ht="14.5" hidden="1" customHeight="1" x14ac:dyDescent="0.35"/>
    <row r="71" ht="14.5" hidden="1" customHeight="1" x14ac:dyDescent="0.35"/>
    <row r="72" ht="14.5" hidden="1" customHeight="1" x14ac:dyDescent="0.35"/>
    <row r="73" ht="14.5" hidden="1" customHeight="1" x14ac:dyDescent="0.35"/>
    <row r="74" ht="14.5" hidden="1" customHeight="1" x14ac:dyDescent="0.35"/>
    <row r="75" ht="14.5" hidden="1" customHeight="1" x14ac:dyDescent="0.35"/>
    <row r="76" ht="14.5" hidden="1" customHeight="1" x14ac:dyDescent="0.35"/>
    <row r="77" ht="14.5" hidden="1" customHeight="1" x14ac:dyDescent="0.35"/>
    <row r="78" ht="14.5" hidden="1" customHeight="1" x14ac:dyDescent="0.35"/>
    <row r="79" ht="14.5" hidden="1" customHeight="1" x14ac:dyDescent="0.35"/>
    <row r="80" ht="14.5" hidden="1" customHeight="1" x14ac:dyDescent="0.35"/>
    <row r="81" ht="14.5" hidden="1" customHeight="1" x14ac:dyDescent="0.35"/>
    <row r="82" ht="14.5" hidden="1" customHeight="1" x14ac:dyDescent="0.35"/>
    <row r="83" ht="14.5" hidden="1" customHeight="1" x14ac:dyDescent="0.35"/>
    <row r="84" ht="14.5" hidden="1" customHeight="1" x14ac:dyDescent="0.35"/>
  </sheetData>
  <sheetProtection algorithmName="SHA-512" hashValue="unJL7ezc9Q9pK6LLXNbV2cSLEmQJkCAbCGx1QE2rUH6z23/HqYEaBZMr8rtMmlBd0Qv1HaKXmlf0eT9R1HEfrQ==" saltValue="iFxHV2+rjkAq5REpGblqzA==" spinCount="100000" sheet="1" objects="1" scenarios="1"/>
  <mergeCells count="3">
    <mergeCell ref="B9:I9"/>
    <mergeCell ref="B15:G15"/>
    <mergeCell ref="B16:G16"/>
  </mergeCells>
  <conditionalFormatting sqref="I13 I18">
    <cfRule type="expression" dxfId="5" priority="8">
      <formula>AND(#REF!&lt;&gt;"Vaste prijs",$G$19&lt;&gt;"Vaste prijs",$G$20&lt;&gt;"Vaste prijs",#REF!&lt;&gt;"Vaste prijs")</formula>
    </cfRule>
  </conditionalFormatting>
  <conditionalFormatting sqref="I23">
    <cfRule type="expression" dxfId="4" priority="5">
      <formula>AND(#REF!&lt;&gt;"Vaste prijs",$G$19&lt;&gt;"Vaste prijs",$G$20&lt;&gt;"Vaste prijs",#REF!&lt;&gt;"Vaste prijs")</formula>
    </cfRule>
  </conditionalFormatting>
  <conditionalFormatting sqref="I30">
    <cfRule type="expression" dxfId="3" priority="4">
      <formula>AND(#REF!&lt;&gt;"Vaste prijs",$G$19&lt;&gt;"Vaste prijs",$G$20&lt;&gt;"Vaste prijs",#REF!&lt;&gt;"Vaste prijs")</formula>
    </cfRule>
  </conditionalFormatting>
  <conditionalFormatting sqref="I35:I41">
    <cfRule type="expression" dxfId="2" priority="3">
      <formula>AND(#REF!&lt;&gt;"Vaste prijs",$G$19&lt;&gt;"Vaste prijs",$G$20&lt;&gt;"Vaste prijs",#REF!&lt;&gt;"Vaste prijs")</formula>
    </cfRule>
  </conditionalFormatting>
  <conditionalFormatting sqref="I46">
    <cfRule type="expression" dxfId="1" priority="2">
      <formula>AND(#REF!&lt;&gt;"Vaste prijs",$G$19&lt;&gt;"Vaste prijs",$G$20&lt;&gt;"Vaste prijs",#REF!&lt;&gt;"Vaste prijs")</formula>
    </cfRule>
  </conditionalFormatting>
  <conditionalFormatting sqref="I51:I57">
    <cfRule type="expression" dxfId="0" priority="1">
      <formula>AND(#REF!&lt;&gt;"Vaste prijs",$G$19&lt;&gt;"Vaste prijs",$G$20&lt;&gt;"Vaste prijs",#REF!&lt;&gt;"Vaste prijs")</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58E7-20DA-42D1-A2BB-718C3AF77536}">
  <sheetPr>
    <pageSetUpPr fitToPage="1"/>
  </sheetPr>
  <dimension ref="A1:L46"/>
  <sheetViews>
    <sheetView showGridLines="0" showRowColHeaders="0" zoomScaleNormal="100" workbookViewId="0">
      <selection activeCell="E40" sqref="E40"/>
    </sheetView>
  </sheetViews>
  <sheetFormatPr defaultColWidth="0" defaultRowHeight="14.5" zeroHeight="1" x14ac:dyDescent="0.35"/>
  <cols>
    <col min="1" max="1" width="3.7265625" customWidth="1"/>
    <col min="2" max="2" width="8.7265625" customWidth="1"/>
    <col min="3" max="8" width="15.54296875" customWidth="1"/>
    <col min="9" max="9" width="2.1796875" customWidth="1"/>
    <col min="10" max="10" width="2.81640625" customWidth="1"/>
    <col min="11" max="11" width="2.1796875" customWidth="1"/>
    <col min="12" max="12" width="8.7265625" customWidth="1"/>
    <col min="13" max="16384" width="8.7265625" hidden="1"/>
  </cols>
  <sheetData>
    <row r="1" spans="2:8" s="19" customFormat="1" x14ac:dyDescent="0.35"/>
    <row r="2" spans="2:8" s="20" customFormat="1" ht="21" x14ac:dyDescent="0.5">
      <c r="B2" s="20" t="s">
        <v>0</v>
      </c>
    </row>
    <row r="3" spans="2:8" s="19" customFormat="1" x14ac:dyDescent="0.35"/>
    <row r="4" spans="2:8" x14ac:dyDescent="0.35"/>
    <row r="5" spans="2:8" x14ac:dyDescent="0.35"/>
    <row r="6" spans="2:8" ht="26" x14ac:dyDescent="0.6">
      <c r="B6" s="21" t="s">
        <v>89</v>
      </c>
    </row>
    <row r="7" spans="2:8" x14ac:dyDescent="0.35"/>
    <row r="8" spans="2:8" x14ac:dyDescent="0.35">
      <c r="B8" s="29" t="s">
        <v>90</v>
      </c>
    </row>
    <row r="9" spans="2:8" ht="5.15" customHeight="1" thickBot="1" x14ac:dyDescent="0.4"/>
    <row r="10" spans="2:8" ht="73" thickBot="1" x14ac:dyDescent="0.4">
      <c r="B10" s="27"/>
      <c r="C10" s="28" t="s">
        <v>540</v>
      </c>
      <c r="D10" s="39" t="s">
        <v>541</v>
      </c>
      <c r="E10" s="39" t="s">
        <v>542</v>
      </c>
      <c r="F10" s="28" t="s">
        <v>91</v>
      </c>
      <c r="G10" s="39" t="s">
        <v>92</v>
      </c>
      <c r="H10" s="39" t="s">
        <v>93</v>
      </c>
    </row>
    <row r="11" spans="2:8" ht="5.15" customHeight="1" x14ac:dyDescent="0.35">
      <c r="B11" s="23"/>
      <c r="C11" s="24"/>
      <c r="D11" s="24"/>
      <c r="E11" s="24"/>
      <c r="F11" s="24"/>
      <c r="G11" s="24"/>
      <c r="H11" s="24"/>
    </row>
    <row r="12" spans="2:8" x14ac:dyDescent="0.35">
      <c r="B12" s="71">
        <v>44197</v>
      </c>
      <c r="C12" s="72">
        <v>3.2799999999999996E-2</v>
      </c>
      <c r="D12" s="73">
        <f>C12-E12</f>
        <v>2.2799999999999994E-2</v>
      </c>
      <c r="E12" s="73">
        <v>0.01</v>
      </c>
      <c r="F12" s="72">
        <v>0.2059</v>
      </c>
      <c r="G12" s="73">
        <f>F12-H12</f>
        <v>6.7500000000000004E-2</v>
      </c>
      <c r="H12" s="73">
        <v>0.1384</v>
      </c>
    </row>
    <row r="13" spans="2:8" x14ac:dyDescent="0.35">
      <c r="B13" s="74">
        <v>44228</v>
      </c>
      <c r="C13" s="75">
        <v>3.4700000000000002E-2</v>
      </c>
      <c r="D13" s="73">
        <f t="shared" ref="D13:D38" si="0">C13-E13</f>
        <v>2.47E-2</v>
      </c>
      <c r="E13" s="76">
        <v>0.01</v>
      </c>
      <c r="F13" s="75">
        <v>0.21059999999999998</v>
      </c>
      <c r="G13" s="73">
        <f t="shared" ref="G13:G35" si="1">F13-H13</f>
        <v>7.2199999999999986E-2</v>
      </c>
      <c r="H13" s="76">
        <v>0.1384</v>
      </c>
    </row>
    <row r="14" spans="2:8" x14ac:dyDescent="0.35">
      <c r="B14" s="74">
        <v>44256</v>
      </c>
      <c r="C14" s="75">
        <v>3.32E-2</v>
      </c>
      <c r="D14" s="73">
        <f t="shared" si="0"/>
        <v>2.3199999999999998E-2</v>
      </c>
      <c r="E14" s="76">
        <v>0.01</v>
      </c>
      <c r="F14" s="75">
        <v>0.21059999999999998</v>
      </c>
      <c r="G14" s="73">
        <f t="shared" si="1"/>
        <v>6.8299999999999972E-2</v>
      </c>
      <c r="H14" s="76">
        <v>0.14230000000000001</v>
      </c>
    </row>
    <row r="15" spans="2:8" x14ac:dyDescent="0.35">
      <c r="B15" s="74">
        <v>44287</v>
      </c>
      <c r="C15" s="75">
        <v>3.44E-2</v>
      </c>
      <c r="D15" s="73">
        <f t="shared" si="0"/>
        <v>2.4399999999999998E-2</v>
      </c>
      <c r="E15" s="76">
        <v>0.01</v>
      </c>
      <c r="F15" s="75">
        <v>0.20949999999999999</v>
      </c>
      <c r="G15" s="73">
        <f t="shared" si="1"/>
        <v>6.7199999999999982E-2</v>
      </c>
      <c r="H15" s="76">
        <v>0.14230000000000001</v>
      </c>
    </row>
    <row r="16" spans="2:8" x14ac:dyDescent="0.35">
      <c r="B16" s="74">
        <v>44317</v>
      </c>
      <c r="C16" s="75">
        <v>3.56E-2</v>
      </c>
      <c r="D16" s="73">
        <f t="shared" si="0"/>
        <v>2.5599999999999998E-2</v>
      </c>
      <c r="E16" s="76">
        <v>0.01</v>
      </c>
      <c r="F16" s="75">
        <v>0.2152</v>
      </c>
      <c r="G16" s="73">
        <f t="shared" si="1"/>
        <v>7.2899999999999993E-2</v>
      </c>
      <c r="H16" s="76">
        <v>0.14230000000000001</v>
      </c>
    </row>
    <row r="17" spans="2:8" x14ac:dyDescent="0.35">
      <c r="B17" s="74">
        <v>44348</v>
      </c>
      <c r="C17" s="75">
        <v>3.7600000000000001E-2</v>
      </c>
      <c r="D17" s="73">
        <f t="shared" si="0"/>
        <v>2.76E-2</v>
      </c>
      <c r="E17" s="76">
        <v>0.01</v>
      </c>
      <c r="F17" s="75">
        <v>0.2145</v>
      </c>
      <c r="G17" s="73">
        <f t="shared" si="1"/>
        <v>7.2300000000000003E-2</v>
      </c>
      <c r="H17" s="76">
        <v>0.14219999999999999</v>
      </c>
    </row>
    <row r="18" spans="2:8" x14ac:dyDescent="0.35">
      <c r="B18" s="74">
        <v>44378</v>
      </c>
      <c r="C18" s="75">
        <v>4.5100000000000001E-2</v>
      </c>
      <c r="D18" s="73">
        <f t="shared" si="0"/>
        <v>3.5099999999999999E-2</v>
      </c>
      <c r="E18" s="76">
        <v>0.01</v>
      </c>
      <c r="F18" s="75">
        <v>0.2341</v>
      </c>
      <c r="G18" s="73">
        <f t="shared" si="1"/>
        <v>9.1900000000000009E-2</v>
      </c>
      <c r="H18" s="76">
        <v>0.14219999999999999</v>
      </c>
    </row>
    <row r="19" spans="2:8" x14ac:dyDescent="0.35">
      <c r="B19" s="74">
        <v>44409</v>
      </c>
      <c r="C19" s="75">
        <v>4.8099999999999997E-2</v>
      </c>
      <c r="D19" s="73">
        <f t="shared" si="0"/>
        <v>3.8099999999999995E-2</v>
      </c>
      <c r="E19" s="76">
        <v>0.01</v>
      </c>
      <c r="F19" s="75">
        <v>0.23550000000000001</v>
      </c>
      <c r="G19" s="73">
        <f t="shared" si="1"/>
        <v>9.3300000000000022E-2</v>
      </c>
      <c r="H19" s="76">
        <v>0.14219999999999999</v>
      </c>
    </row>
    <row r="20" spans="2:8" x14ac:dyDescent="0.35">
      <c r="B20" s="74">
        <v>44440</v>
      </c>
      <c r="C20" s="75">
        <v>5.1500000000000004E-2</v>
      </c>
      <c r="D20" s="73">
        <f t="shared" si="0"/>
        <v>4.1500000000000002E-2</v>
      </c>
      <c r="E20" s="76">
        <v>0.01</v>
      </c>
      <c r="F20" s="75">
        <v>0.23719999999999999</v>
      </c>
      <c r="G20" s="73">
        <f t="shared" si="1"/>
        <v>9.4899999999999984E-2</v>
      </c>
      <c r="H20" s="76">
        <v>0.14230000000000001</v>
      </c>
    </row>
    <row r="21" spans="2:8" x14ac:dyDescent="0.35">
      <c r="B21" s="74">
        <v>44470</v>
      </c>
      <c r="C21" s="75">
        <v>7.8399999999999997E-2</v>
      </c>
      <c r="D21" s="73">
        <f t="shared" si="0"/>
        <v>6.8400000000000002E-2</v>
      </c>
      <c r="E21" s="76">
        <v>0.01</v>
      </c>
      <c r="F21" s="75">
        <v>0.29020000000000001</v>
      </c>
      <c r="G21" s="73">
        <f t="shared" si="1"/>
        <v>0.14760000000000001</v>
      </c>
      <c r="H21" s="76">
        <v>0.1426</v>
      </c>
    </row>
    <row r="22" spans="2:8" x14ac:dyDescent="0.35">
      <c r="B22" s="74">
        <v>44501</v>
      </c>
      <c r="C22" s="75">
        <v>8.7599999999999997E-2</v>
      </c>
      <c r="D22" s="73">
        <f t="shared" si="0"/>
        <v>7.7600000000000002E-2</v>
      </c>
      <c r="E22" s="76">
        <v>0.01</v>
      </c>
      <c r="F22" s="75">
        <v>0.30480000000000002</v>
      </c>
      <c r="G22" s="73">
        <f t="shared" si="1"/>
        <v>0.16270000000000001</v>
      </c>
      <c r="H22" s="76">
        <v>0.1421</v>
      </c>
    </row>
    <row r="23" spans="2:8" x14ac:dyDescent="0.35">
      <c r="B23" s="74">
        <v>44531</v>
      </c>
      <c r="C23" s="75">
        <v>8.7300000000000003E-2</v>
      </c>
      <c r="D23" s="73">
        <f t="shared" si="0"/>
        <v>7.7300000000000008E-2</v>
      </c>
      <c r="E23" s="76">
        <v>0.01</v>
      </c>
      <c r="F23" s="75">
        <v>0.32829999999999998</v>
      </c>
      <c r="G23" s="73">
        <f t="shared" si="1"/>
        <v>0.18619999999999998</v>
      </c>
      <c r="H23" s="76">
        <v>0.1421</v>
      </c>
    </row>
    <row r="24" spans="2:8" x14ac:dyDescent="0.35">
      <c r="B24" s="74">
        <v>44562</v>
      </c>
      <c r="C24" s="75">
        <v>0.12429999999999999</v>
      </c>
      <c r="D24" s="73">
        <f t="shared" si="0"/>
        <v>0.1148</v>
      </c>
      <c r="E24" s="76">
        <v>9.4999999999999998E-3</v>
      </c>
      <c r="F24" s="75">
        <v>0.40490000000000004</v>
      </c>
      <c r="G24" s="73">
        <f t="shared" si="1"/>
        <v>0.27310000000000001</v>
      </c>
      <c r="H24" s="76">
        <v>0.1318</v>
      </c>
    </row>
    <row r="25" spans="2:8" x14ac:dyDescent="0.35">
      <c r="B25" s="74">
        <v>44593</v>
      </c>
      <c r="C25" s="75">
        <v>0.11269999999999999</v>
      </c>
      <c r="D25" s="73">
        <f t="shared" si="0"/>
        <v>0.1032</v>
      </c>
      <c r="E25" s="76">
        <v>9.4999999999999998E-3</v>
      </c>
      <c r="F25" s="75">
        <v>0.37369999999999998</v>
      </c>
      <c r="G25" s="73">
        <f t="shared" si="1"/>
        <v>0.24219999999999997</v>
      </c>
      <c r="H25" s="76">
        <v>0.13150000000000001</v>
      </c>
    </row>
    <row r="26" spans="2:8" x14ac:dyDescent="0.35">
      <c r="B26" s="74">
        <v>44621</v>
      </c>
      <c r="C26" s="75">
        <v>0.1116</v>
      </c>
      <c r="D26" s="73">
        <f t="shared" si="0"/>
        <v>0.10210000000000001</v>
      </c>
      <c r="E26" s="76">
        <v>9.4999999999999998E-3</v>
      </c>
      <c r="F26" s="75">
        <v>0.3589</v>
      </c>
      <c r="G26" s="73">
        <f t="shared" si="1"/>
        <v>0.22669999999999998</v>
      </c>
      <c r="H26" s="76">
        <v>0.13220000000000001</v>
      </c>
    </row>
    <row r="27" spans="2:8" x14ac:dyDescent="0.35">
      <c r="B27" s="74">
        <v>44652</v>
      </c>
      <c r="C27" s="75">
        <v>0.13900000000000001</v>
      </c>
      <c r="D27" s="73">
        <f t="shared" si="0"/>
        <v>0.1295</v>
      </c>
      <c r="E27" s="76">
        <v>9.4999999999999998E-3</v>
      </c>
      <c r="F27" s="75">
        <v>0.41210000000000002</v>
      </c>
      <c r="G27" s="73">
        <f t="shared" si="1"/>
        <v>0.27990000000000004</v>
      </c>
      <c r="H27" s="76">
        <v>0.13220000000000001</v>
      </c>
    </row>
    <row r="28" spans="2:8" x14ac:dyDescent="0.35">
      <c r="B28" s="74">
        <v>44682</v>
      </c>
      <c r="C28" s="75">
        <v>0.12330000000000001</v>
      </c>
      <c r="D28" s="73">
        <f t="shared" si="0"/>
        <v>0.11380000000000001</v>
      </c>
      <c r="E28" s="76">
        <v>9.4999999999999998E-3</v>
      </c>
      <c r="F28" s="75">
        <v>0.36420000000000002</v>
      </c>
      <c r="G28" s="73">
        <f t="shared" si="1"/>
        <v>0.23200000000000001</v>
      </c>
      <c r="H28" s="76">
        <v>0.13220000000000001</v>
      </c>
    </row>
    <row r="29" spans="2:8" x14ac:dyDescent="0.35">
      <c r="B29" s="74">
        <v>44713</v>
      </c>
      <c r="C29" s="75">
        <v>0.11810000000000001</v>
      </c>
      <c r="D29" s="73">
        <f t="shared" si="0"/>
        <v>0.10860000000000002</v>
      </c>
      <c r="E29" s="76">
        <v>9.4999999999999998E-3</v>
      </c>
      <c r="F29" s="75">
        <v>0.35810000000000003</v>
      </c>
      <c r="G29" s="73">
        <f t="shared" si="1"/>
        <v>0.22590000000000002</v>
      </c>
      <c r="H29" s="76">
        <v>0.13220000000000001</v>
      </c>
    </row>
    <row r="30" spans="2:8" x14ac:dyDescent="0.35">
      <c r="B30" s="74">
        <v>44743</v>
      </c>
      <c r="C30" s="75">
        <v>0.12090000000000001</v>
      </c>
      <c r="D30" s="73">
        <f t="shared" si="0"/>
        <v>0.11140000000000001</v>
      </c>
      <c r="E30" s="76">
        <v>9.4999999999999998E-3</v>
      </c>
      <c r="F30" s="75">
        <v>0.4022</v>
      </c>
      <c r="G30" s="73">
        <f t="shared" si="1"/>
        <v>0.27</v>
      </c>
      <c r="H30" s="76">
        <v>0.13220000000000001</v>
      </c>
    </row>
    <row r="31" spans="2:8" x14ac:dyDescent="0.35">
      <c r="B31" s="74">
        <v>44774</v>
      </c>
      <c r="C31" s="75">
        <v>0.13389999999999999</v>
      </c>
      <c r="D31" s="73">
        <f t="shared" si="0"/>
        <v>0.1244</v>
      </c>
      <c r="E31" s="76">
        <v>9.4999999999999998E-3</v>
      </c>
      <c r="F31" s="75">
        <v>0.4652</v>
      </c>
      <c r="G31" s="73">
        <f t="shared" si="1"/>
        <v>0.33299999999999996</v>
      </c>
      <c r="H31" s="76">
        <v>0.13220000000000001</v>
      </c>
    </row>
    <row r="32" spans="2:8" x14ac:dyDescent="0.35">
      <c r="B32" s="74">
        <v>44805</v>
      </c>
      <c r="C32" s="75">
        <v>0.15609999999999999</v>
      </c>
      <c r="D32" s="73">
        <f t="shared" si="0"/>
        <v>0.14659999999999998</v>
      </c>
      <c r="E32" s="76">
        <v>9.4999999999999998E-3</v>
      </c>
      <c r="F32" s="75">
        <v>0.54410000000000003</v>
      </c>
      <c r="G32" s="73">
        <f t="shared" si="1"/>
        <v>0.41190000000000004</v>
      </c>
      <c r="H32" s="76">
        <v>0.13220000000000001</v>
      </c>
    </row>
    <row r="33" spans="2:12" x14ac:dyDescent="0.35">
      <c r="B33" s="74">
        <v>44835</v>
      </c>
      <c r="C33" s="75">
        <v>0.1981</v>
      </c>
      <c r="D33" s="73">
        <f t="shared" si="0"/>
        <v>0.18859999999999999</v>
      </c>
      <c r="E33" s="73">
        <v>9.4999999999999998E-3</v>
      </c>
      <c r="F33" s="75">
        <v>0.63290000000000002</v>
      </c>
      <c r="G33" s="73">
        <f t="shared" si="1"/>
        <v>0.50070000000000003</v>
      </c>
      <c r="H33" s="73">
        <v>0.13220000000000001</v>
      </c>
    </row>
    <row r="34" spans="2:12" x14ac:dyDescent="0.35">
      <c r="B34" s="74">
        <v>44866</v>
      </c>
      <c r="C34" s="75">
        <v>0.1656</v>
      </c>
      <c r="D34" s="73">
        <f t="shared" si="0"/>
        <v>0.15609999999999999</v>
      </c>
      <c r="E34" s="73">
        <f>E33</f>
        <v>9.4999999999999998E-3</v>
      </c>
      <c r="F34" s="75">
        <v>0.501</v>
      </c>
      <c r="G34" s="73">
        <f t="shared" si="1"/>
        <v>0.36880000000000002</v>
      </c>
      <c r="H34" s="73">
        <v>0.13220000000000001</v>
      </c>
      <c r="J34" s="22"/>
    </row>
    <row r="35" spans="2:12" x14ac:dyDescent="0.35">
      <c r="B35" s="74">
        <v>44896</v>
      </c>
      <c r="C35" s="75">
        <v>0.18179999999999999</v>
      </c>
      <c r="D35" s="73">
        <f t="shared" si="0"/>
        <v>0.17229999999999998</v>
      </c>
      <c r="E35" s="73">
        <f>E34</f>
        <v>9.4999999999999998E-3</v>
      </c>
      <c r="F35" s="75">
        <v>0.51739999999999997</v>
      </c>
      <c r="G35" s="73">
        <f t="shared" si="1"/>
        <v>0.38519999999999999</v>
      </c>
      <c r="H35" s="73">
        <v>0.13220000000000001</v>
      </c>
      <c r="J35" s="22"/>
    </row>
    <row r="36" spans="2:12" x14ac:dyDescent="0.35">
      <c r="B36" s="74">
        <v>44927</v>
      </c>
      <c r="C36" s="75">
        <v>0.1386</v>
      </c>
      <c r="D36" s="73">
        <f t="shared" si="0"/>
        <v>0.12859999999999999</v>
      </c>
      <c r="E36" s="73">
        <v>0.01</v>
      </c>
      <c r="F36" s="75">
        <v>0.44900000000000001</v>
      </c>
      <c r="G36" s="73">
        <f t="shared" ref="G36:G38" si="2">F36-H36</f>
        <v>0.36588340000000003</v>
      </c>
      <c r="H36" s="73">
        <v>8.3116599999999999E-2</v>
      </c>
      <c r="J36" s="22"/>
    </row>
    <row r="37" spans="2:12" x14ac:dyDescent="0.35">
      <c r="B37" s="74">
        <v>44958</v>
      </c>
      <c r="C37" s="75">
        <v>0.11940000000000001</v>
      </c>
      <c r="D37" s="73">
        <f t="shared" si="0"/>
        <v>0.10940000000000001</v>
      </c>
      <c r="E37" s="73">
        <v>0.01</v>
      </c>
      <c r="F37" s="75">
        <v>0.3659</v>
      </c>
      <c r="G37" s="73">
        <f t="shared" si="2"/>
        <v>0.28278340000000002</v>
      </c>
      <c r="H37" s="73">
        <v>8.3116599999999999E-2</v>
      </c>
      <c r="J37" s="22"/>
    </row>
    <row r="38" spans="2:12" x14ac:dyDescent="0.35">
      <c r="B38" s="74">
        <v>44986</v>
      </c>
      <c r="C38" s="75">
        <v>0.1153</v>
      </c>
      <c r="D38" s="73">
        <f t="shared" si="0"/>
        <v>0.1053</v>
      </c>
      <c r="E38" s="73">
        <v>0.01</v>
      </c>
      <c r="F38" s="75">
        <v>0.37669999999999998</v>
      </c>
      <c r="G38" s="73">
        <f t="shared" si="2"/>
        <v>0.29358339999999999</v>
      </c>
      <c r="H38" s="73">
        <v>8.3116599999999999E-2</v>
      </c>
      <c r="J38" s="22"/>
    </row>
    <row r="39" spans="2:12" x14ac:dyDescent="0.35"/>
    <row r="40" spans="2:12" x14ac:dyDescent="0.35"/>
    <row r="41" spans="2:12" s="23" customFormat="1" x14ac:dyDescent="0.35">
      <c r="B41" s="23" t="s">
        <v>94</v>
      </c>
    </row>
    <row r="42" spans="2:12" s="23" customFormat="1" x14ac:dyDescent="0.35">
      <c r="B42" s="23" t="s">
        <v>95</v>
      </c>
    </row>
    <row r="43" spans="2:12" x14ac:dyDescent="0.35">
      <c r="B43" s="3" t="s">
        <v>96</v>
      </c>
    </row>
    <row r="44" spans="2:12" s="23" customFormat="1" ht="33.75" customHeight="1" x14ac:dyDescent="0.35">
      <c r="B44" s="87" t="s">
        <v>97</v>
      </c>
      <c r="C44" s="87"/>
      <c r="D44" s="87"/>
      <c r="E44" s="87"/>
      <c r="F44" s="87"/>
      <c r="G44" s="87"/>
      <c r="H44" s="87"/>
      <c r="I44" s="87"/>
      <c r="J44" s="87"/>
      <c r="K44" s="88"/>
      <c r="L44" s="88"/>
    </row>
    <row r="45" spans="2:12" x14ac:dyDescent="0.35"/>
    <row r="46" spans="2:12" x14ac:dyDescent="0.35"/>
  </sheetData>
  <sheetProtection algorithmName="SHA-512" hashValue="0FMpLF4nhmIiLK5pFJgb3oNthC5cV7qDtCDZBl7aSokJ+7g+gQGOQTutwdan88Sm7ArD92O/d0MHdQy0o4jkSw==" saltValue="6AeIhbahZAtXjzzyAFZWOQ==" spinCount="100000" sheet="1" objects="1" scenarios="1"/>
  <mergeCells count="1">
    <mergeCell ref="B44:L44"/>
  </mergeCells>
  <hyperlinks>
    <hyperlink ref="B43" r:id="rId1" xr:uid="{6B566F43-EF2E-4100-B7C9-0EDFB1C8D5A6}"/>
  </hyperlinks>
  <pageMargins left="0.70866141732283472" right="0.70866141732283472" top="0.74803149606299213" bottom="0.74803149606299213" header="0.31496062992125984" footer="0.31496062992125984"/>
  <pageSetup paperSize="9" scale="7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AAAA2-ADD2-4018-A3B6-A1BFF00D2CD0}">
  <dimension ref="A1:H46"/>
  <sheetViews>
    <sheetView showGridLines="0" showRowColHeaders="0" tabSelected="1" zoomScaleNormal="100" workbookViewId="0">
      <selection activeCell="B6" sqref="B6"/>
    </sheetView>
  </sheetViews>
  <sheetFormatPr defaultColWidth="0" defaultRowHeight="14.5" zeroHeight="1" x14ac:dyDescent="0.35"/>
  <cols>
    <col min="1" max="1" width="3.7265625" customWidth="1"/>
    <col min="2" max="2" width="10.1796875" customWidth="1"/>
    <col min="3" max="4" width="22.26953125" customWidth="1"/>
    <col min="5" max="5" width="2.1796875" customWidth="1"/>
    <col min="6" max="8" width="8.7265625" customWidth="1"/>
    <col min="9" max="16384" width="8.7265625" hidden="1"/>
  </cols>
  <sheetData>
    <row r="1" spans="2:5" s="19" customFormat="1" x14ac:dyDescent="0.35"/>
    <row r="2" spans="2:5" s="20" customFormat="1" ht="21" x14ac:dyDescent="0.5">
      <c r="B2" s="20" t="s">
        <v>0</v>
      </c>
    </row>
    <row r="3" spans="2:5" s="19" customFormat="1" x14ac:dyDescent="0.35"/>
    <row r="4" spans="2:5" x14ac:dyDescent="0.35"/>
    <row r="5" spans="2:5" x14ac:dyDescent="0.35"/>
    <row r="6" spans="2:5" ht="26" x14ac:dyDescent="0.6">
      <c r="B6" s="21" t="s">
        <v>98</v>
      </c>
    </row>
    <row r="7" spans="2:5" x14ac:dyDescent="0.35"/>
    <row r="8" spans="2:5" x14ac:dyDescent="0.35">
      <c r="B8" s="29" t="s">
        <v>544</v>
      </c>
    </row>
    <row r="9" spans="2:5" ht="5.15" customHeight="1" thickBot="1" x14ac:dyDescent="0.4"/>
    <row r="10" spans="2:5" ht="15" thickBot="1" x14ac:dyDescent="0.4">
      <c r="B10" s="27"/>
      <c r="C10" s="28" t="s">
        <v>543</v>
      </c>
      <c r="D10" s="28" t="s">
        <v>99</v>
      </c>
    </row>
    <row r="11" spans="2:5" ht="5.15" customHeight="1" x14ac:dyDescent="0.35">
      <c r="C11" s="1"/>
      <c r="D11" s="1"/>
    </row>
    <row r="12" spans="2:5" x14ac:dyDescent="0.35">
      <c r="B12" s="30" t="s">
        <v>100</v>
      </c>
      <c r="C12" s="30">
        <v>0.17982027080000254</v>
      </c>
      <c r="D12" s="30">
        <v>9.8413167899999876E-2</v>
      </c>
      <c r="E12" s="23"/>
    </row>
    <row r="13" spans="2:5" x14ac:dyDescent="0.35">
      <c r="B13" s="26" t="s">
        <v>101</v>
      </c>
      <c r="C13" s="31">
        <v>0.15151247989999983</v>
      </c>
      <c r="D13" s="31">
        <v>8.7997294099999887E-2</v>
      </c>
      <c r="E13" s="23"/>
    </row>
    <row r="14" spans="2:5" x14ac:dyDescent="0.35">
      <c r="B14" s="26" t="s">
        <v>102</v>
      </c>
      <c r="C14" s="31">
        <v>0.12695361890000001</v>
      </c>
      <c r="D14" s="31">
        <v>9.0909948200000007E-2</v>
      </c>
      <c r="E14" s="23"/>
    </row>
    <row r="15" spans="2:5" x14ac:dyDescent="0.35">
      <c r="B15" s="25" t="s">
        <v>103</v>
      </c>
      <c r="C15" s="31">
        <v>7.2778826300000099E-2</v>
      </c>
      <c r="D15" s="31">
        <v>8.005018080000012E-2</v>
      </c>
      <c r="E15" s="23"/>
    </row>
    <row r="16" spans="2:5" x14ac:dyDescent="0.35">
      <c r="B16" s="26" t="s">
        <v>104</v>
      </c>
      <c r="C16" s="31">
        <v>4.0076028699999995E-2</v>
      </c>
      <c r="D16" s="31">
        <v>7.6794371200000031E-2</v>
      </c>
      <c r="E16" s="23"/>
    </row>
    <row r="17" spans="2:8" x14ac:dyDescent="0.35">
      <c r="B17" s="26" t="s">
        <v>105</v>
      </c>
      <c r="C17" s="31">
        <v>2.2356556100000015E-2</v>
      </c>
      <c r="D17" s="31">
        <v>7.6753781599999987E-2</v>
      </c>
      <c r="E17" s="23"/>
    </row>
    <row r="18" spans="2:8" x14ac:dyDescent="0.35">
      <c r="B18" s="25" t="s">
        <v>106</v>
      </c>
      <c r="C18" s="31">
        <v>2.08430384E-2</v>
      </c>
      <c r="D18" s="31">
        <v>7.3972338200000029E-2</v>
      </c>
      <c r="E18" s="23"/>
    </row>
    <row r="19" spans="2:8" x14ac:dyDescent="0.35">
      <c r="B19" s="26" t="s">
        <v>107</v>
      </c>
      <c r="C19" s="31">
        <v>2.082444960000001E-2</v>
      </c>
      <c r="D19" s="31">
        <v>7.4179966500000152E-2</v>
      </c>
      <c r="E19" s="23"/>
    </row>
    <row r="20" spans="2:8" x14ac:dyDescent="0.35">
      <c r="B20" s="26" t="s">
        <v>108</v>
      </c>
      <c r="C20" s="31">
        <v>2.7188076700000015E-2</v>
      </c>
      <c r="D20" s="31">
        <v>7.7366391099999779E-2</v>
      </c>
      <c r="E20" s="23"/>
    </row>
    <row r="21" spans="2:8" x14ac:dyDescent="0.35">
      <c r="B21" s="25" t="s">
        <v>109</v>
      </c>
      <c r="C21" s="31">
        <v>6.2766286199999938E-2</v>
      </c>
      <c r="D21" s="31">
        <v>8.2378552799999921E-2</v>
      </c>
      <c r="E21" s="23"/>
    </row>
    <row r="22" spans="2:8" x14ac:dyDescent="0.35">
      <c r="B22" s="26" t="s">
        <v>110</v>
      </c>
      <c r="C22" s="31">
        <v>0.11483429059999996</v>
      </c>
      <c r="D22" s="31">
        <v>8.5964010900000026E-2</v>
      </c>
      <c r="E22" s="23"/>
    </row>
    <row r="23" spans="2:8" x14ac:dyDescent="0.35">
      <c r="B23" s="26" t="s">
        <v>111</v>
      </c>
      <c r="C23" s="31">
        <v>0.16004607779999999</v>
      </c>
      <c r="D23" s="31">
        <v>9.5219996700000947E-2</v>
      </c>
      <c r="E23" s="23"/>
    </row>
    <row r="24" spans="2:8" x14ac:dyDescent="0.35">
      <c r="B24" s="23"/>
      <c r="C24" s="23"/>
      <c r="D24" s="23"/>
      <c r="E24" s="23"/>
      <c r="F24" s="23"/>
    </row>
    <row r="25" spans="2:8" ht="14.15" customHeight="1" x14ac:dyDescent="0.35">
      <c r="B25" s="23"/>
      <c r="C25" s="23"/>
      <c r="D25" s="23"/>
      <c r="E25" s="23"/>
      <c r="F25" s="23"/>
    </row>
    <row r="26" spans="2:8" ht="60" customHeight="1" x14ac:dyDescent="0.35">
      <c r="B26" s="87" t="s">
        <v>112</v>
      </c>
      <c r="C26" s="87"/>
      <c r="D26" s="87"/>
      <c r="E26" s="87"/>
      <c r="F26" s="87"/>
      <c r="G26" s="88"/>
      <c r="H26" s="88"/>
    </row>
    <row r="27" spans="2:8" x14ac:dyDescent="0.35">
      <c r="B27" s="6" t="s">
        <v>113</v>
      </c>
    </row>
    <row r="28" spans="2:8" x14ac:dyDescent="0.35">
      <c r="B28" s="6" t="s">
        <v>114</v>
      </c>
    </row>
    <row r="29" spans="2:8" ht="51" customHeight="1" x14ac:dyDescent="0.35">
      <c r="B29" s="87" t="s">
        <v>115</v>
      </c>
      <c r="C29" s="87"/>
      <c r="D29" s="87"/>
      <c r="E29" s="87"/>
      <c r="F29" s="87"/>
      <c r="G29" s="88"/>
      <c r="H29" s="88"/>
    </row>
    <row r="30" spans="2:8" x14ac:dyDescent="0.35"/>
    <row r="31" spans="2:8" x14ac:dyDescent="0.35"/>
    <row r="32" spans="2:8"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sheetData>
  <sheetProtection algorithmName="SHA-512" hashValue="C4+2rIn/5TavmumlZHEv1HM7dOgzPX/BxT3YlHzizDXD6vxyR9M4tO4yjd4dlqssuM+oKperc3Zo1epcxoD3lg==" saltValue="crGNklXK8ugA32qdKl1Isg==" spinCount="100000" sheet="1" objects="1" scenarios="1"/>
  <mergeCells count="2">
    <mergeCell ref="B26:H26"/>
    <mergeCell ref="B29:H29"/>
  </mergeCells>
  <phoneticPr fontId="4" type="noConversion"/>
  <hyperlinks>
    <hyperlink ref="B27" r:id="rId1" xr:uid="{BCA7A430-F32A-4F3C-A343-55417870AC9C}"/>
    <hyperlink ref="B28" r:id="rId2" xr:uid="{51139485-4458-483B-BBCF-26C2A9442AC1}"/>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3D86-F824-4935-8D28-7FFEC3FDF1FF}">
  <sheetPr>
    <tabColor rgb="FFFF0000"/>
  </sheetPr>
  <dimension ref="B2:F368"/>
  <sheetViews>
    <sheetView showGridLines="0" workbookViewId="0">
      <selection activeCell="F369" sqref="F369"/>
    </sheetView>
  </sheetViews>
  <sheetFormatPr defaultRowHeight="14.5" x14ac:dyDescent="0.35"/>
  <cols>
    <col min="2" max="2" width="8.1796875" style="11" bestFit="1" customWidth="1"/>
    <col min="3" max="3" width="11.1796875" style="11" bestFit="1" customWidth="1"/>
    <col min="4" max="4" width="14.54296875" style="11" bestFit="1" customWidth="1"/>
    <col min="5" max="5" width="17.54296875" style="11" bestFit="1" customWidth="1"/>
  </cols>
  <sheetData>
    <row r="2" spans="2:5" x14ac:dyDescent="0.35">
      <c r="B2" s="7" t="s">
        <v>116</v>
      </c>
      <c r="C2" s="7" t="s">
        <v>117</v>
      </c>
      <c r="D2" s="8" t="s">
        <v>118</v>
      </c>
      <c r="E2" s="8" t="s">
        <v>119</v>
      </c>
    </row>
    <row r="3" spans="2:5" x14ac:dyDescent="0.35">
      <c r="B3" s="9" t="s">
        <v>120</v>
      </c>
      <c r="C3" s="9">
        <v>1</v>
      </c>
      <c r="D3" s="10">
        <v>2.2705467999999999E-3</v>
      </c>
      <c r="E3" s="10">
        <v>5.3391690000025253E-3</v>
      </c>
    </row>
    <row r="4" spans="2:5" x14ac:dyDescent="0.35">
      <c r="B4" s="9" t="s">
        <v>121</v>
      </c>
      <c r="C4" s="9">
        <v>2</v>
      </c>
      <c r="D4" s="10">
        <v>5.1941954000000005E-3</v>
      </c>
      <c r="E4" s="10">
        <v>1.0710274700002527E-2</v>
      </c>
    </row>
    <row r="5" spans="2:5" x14ac:dyDescent="0.35">
      <c r="B5" s="9" t="s">
        <v>122</v>
      </c>
      <c r="C5" s="9">
        <v>3</v>
      </c>
      <c r="D5" s="10">
        <v>7.6447865000000004E-3</v>
      </c>
      <c r="E5" s="10">
        <v>1.5734519700002531E-2</v>
      </c>
    </row>
    <row r="6" spans="2:5" x14ac:dyDescent="0.35">
      <c r="B6" s="9" t="s">
        <v>123</v>
      </c>
      <c r="C6" s="9">
        <v>4</v>
      </c>
      <c r="D6" s="10">
        <v>1.0947026200000001E-2</v>
      </c>
      <c r="E6" s="10">
        <v>2.1825307800002532E-2</v>
      </c>
    </row>
    <row r="7" spans="2:5" x14ac:dyDescent="0.35">
      <c r="B7" s="9" t="s">
        <v>124</v>
      </c>
      <c r="C7" s="9">
        <v>5</v>
      </c>
      <c r="D7" s="10">
        <v>1.4445593900000003E-2</v>
      </c>
      <c r="E7" s="10">
        <v>2.7881472100002531E-2</v>
      </c>
    </row>
    <row r="8" spans="2:5" x14ac:dyDescent="0.35">
      <c r="B8" s="9" t="s">
        <v>125</v>
      </c>
      <c r="C8" s="9">
        <v>6</v>
      </c>
      <c r="D8" s="10">
        <v>1.7932058700000003E-2</v>
      </c>
      <c r="E8" s="10">
        <v>3.394547510000253E-2</v>
      </c>
    </row>
    <row r="9" spans="2:5" x14ac:dyDescent="0.35">
      <c r="B9" s="9" t="s">
        <v>126</v>
      </c>
      <c r="C9" s="9">
        <v>7</v>
      </c>
      <c r="D9" s="10">
        <v>2.1477011100000002E-2</v>
      </c>
      <c r="E9" s="10">
        <v>4.0016758200002528E-2</v>
      </c>
    </row>
    <row r="10" spans="2:5" x14ac:dyDescent="0.35">
      <c r="B10" s="9" t="s">
        <v>127</v>
      </c>
      <c r="C10" s="9">
        <v>8</v>
      </c>
      <c r="D10" s="10">
        <v>2.5008918100000003E-2</v>
      </c>
      <c r="E10" s="10">
        <v>4.6200211800002527E-2</v>
      </c>
    </row>
    <row r="11" spans="2:5" x14ac:dyDescent="0.35">
      <c r="B11" s="9" t="s">
        <v>128</v>
      </c>
      <c r="C11" s="9">
        <v>9</v>
      </c>
      <c r="D11" s="10">
        <v>2.7937202500000004E-2</v>
      </c>
      <c r="E11" s="10">
        <v>5.1739311400002527E-2</v>
      </c>
    </row>
    <row r="12" spans="2:5" x14ac:dyDescent="0.35">
      <c r="B12" s="9" t="s">
        <v>129</v>
      </c>
      <c r="C12" s="9">
        <v>10</v>
      </c>
      <c r="D12" s="10">
        <v>3.0391949800000005E-2</v>
      </c>
      <c r="E12" s="10">
        <v>5.6807604600002524E-2</v>
      </c>
    </row>
    <row r="13" spans="2:5" x14ac:dyDescent="0.35">
      <c r="B13" s="9" t="s">
        <v>130</v>
      </c>
      <c r="C13" s="9">
        <v>11</v>
      </c>
      <c r="D13" s="10">
        <v>3.3698379900000006E-2</v>
      </c>
      <c r="E13" s="10">
        <v>6.2941818400002528E-2</v>
      </c>
    </row>
    <row r="14" spans="2:5" x14ac:dyDescent="0.35">
      <c r="B14" s="9" t="s">
        <v>131</v>
      </c>
      <c r="C14" s="9">
        <v>12</v>
      </c>
      <c r="D14" s="10">
        <v>3.7199673700000005E-2</v>
      </c>
      <c r="E14" s="10">
        <v>6.9034274900002524E-2</v>
      </c>
    </row>
    <row r="15" spans="2:5" x14ac:dyDescent="0.35">
      <c r="B15" s="9" t="s">
        <v>132</v>
      </c>
      <c r="C15" s="9">
        <v>13</v>
      </c>
      <c r="D15" s="10">
        <v>4.0687941200000008E-2</v>
      </c>
      <c r="E15" s="10">
        <v>7.5128330000002519E-2</v>
      </c>
    </row>
    <row r="16" spans="2:5" x14ac:dyDescent="0.35">
      <c r="B16" s="9" t="s">
        <v>133</v>
      </c>
      <c r="C16" s="9">
        <v>14</v>
      </c>
      <c r="D16" s="10">
        <v>4.4233251700000011E-2</v>
      </c>
      <c r="E16" s="10">
        <v>8.1223509000002525E-2</v>
      </c>
    </row>
    <row r="17" spans="2:5" x14ac:dyDescent="0.35">
      <c r="B17" s="9" t="s">
        <v>134</v>
      </c>
      <c r="C17" s="9">
        <v>15</v>
      </c>
      <c r="D17" s="10">
        <v>4.7763692400000009E-2</v>
      </c>
      <c r="E17" s="10">
        <v>8.7422646600002527E-2</v>
      </c>
    </row>
    <row r="18" spans="2:5" x14ac:dyDescent="0.35">
      <c r="B18" s="9" t="s">
        <v>135</v>
      </c>
      <c r="C18" s="9">
        <v>16</v>
      </c>
      <c r="D18" s="10">
        <v>5.0690003800000008E-2</v>
      </c>
      <c r="E18" s="10">
        <v>9.2973038200002522E-2</v>
      </c>
    </row>
    <row r="19" spans="2:5" x14ac:dyDescent="0.35">
      <c r="B19" s="9" t="s">
        <v>136</v>
      </c>
      <c r="C19" s="9">
        <v>17</v>
      </c>
      <c r="D19" s="10">
        <v>5.3141494900000009E-2</v>
      </c>
      <c r="E19" s="10">
        <v>9.8046961700002516E-2</v>
      </c>
    </row>
    <row r="20" spans="2:5" x14ac:dyDescent="0.35">
      <c r="B20" s="9" t="s">
        <v>137</v>
      </c>
      <c r="C20" s="9">
        <v>18</v>
      </c>
      <c r="D20" s="10">
        <v>5.644272110000001E-2</v>
      </c>
      <c r="E20" s="10">
        <v>0.10417834610000251</v>
      </c>
    </row>
    <row r="21" spans="2:5" x14ac:dyDescent="0.35">
      <c r="B21" s="9" t="s">
        <v>138</v>
      </c>
      <c r="C21" s="9">
        <v>19</v>
      </c>
      <c r="D21" s="10">
        <v>5.9938013300000009E-2</v>
      </c>
      <c r="E21" s="10">
        <v>0.11026215510000251</v>
      </c>
    </row>
    <row r="22" spans="2:5" x14ac:dyDescent="0.35">
      <c r="B22" s="9" t="s">
        <v>139</v>
      </c>
      <c r="C22" s="9">
        <v>20</v>
      </c>
      <c r="D22" s="10">
        <v>6.3418909500000009E-2</v>
      </c>
      <c r="E22" s="10">
        <v>0.11634167260000251</v>
      </c>
    </row>
    <row r="23" spans="2:5" x14ac:dyDescent="0.35">
      <c r="B23" s="9" t="s">
        <v>140</v>
      </c>
      <c r="C23" s="9">
        <v>21</v>
      </c>
      <c r="D23" s="10">
        <v>6.6955076500000016E-2</v>
      </c>
      <c r="E23" s="10">
        <v>0.12241430300000251</v>
      </c>
    </row>
    <row r="24" spans="2:5" x14ac:dyDescent="0.35">
      <c r="B24" s="9" t="s">
        <v>141</v>
      </c>
      <c r="C24" s="9">
        <v>22</v>
      </c>
      <c r="D24" s="10">
        <v>7.0475949600000018E-2</v>
      </c>
      <c r="E24" s="10">
        <v>0.12858589000000251</v>
      </c>
    </row>
    <row r="25" spans="2:5" x14ac:dyDescent="0.35">
      <c r="B25" s="9" t="s">
        <v>142</v>
      </c>
      <c r="C25" s="9">
        <v>23</v>
      </c>
      <c r="D25" s="10">
        <v>7.3393274500000022E-2</v>
      </c>
      <c r="E25" s="10">
        <v>0.13410667780000252</v>
      </c>
    </row>
    <row r="26" spans="2:5" x14ac:dyDescent="0.35">
      <c r="B26" s="9" t="s">
        <v>143</v>
      </c>
      <c r="C26" s="9">
        <v>24</v>
      </c>
      <c r="D26" s="10">
        <v>7.5834573700000019E-2</v>
      </c>
      <c r="E26" s="10">
        <v>0.13914995560000251</v>
      </c>
    </row>
    <row r="27" spans="2:5" x14ac:dyDescent="0.35">
      <c r="B27" s="9" t="s">
        <v>144</v>
      </c>
      <c r="C27" s="9">
        <v>25</v>
      </c>
      <c r="D27" s="10">
        <v>7.9122081400000016E-2</v>
      </c>
      <c r="E27" s="10">
        <v>0.1452341329000025</v>
      </c>
    </row>
    <row r="28" spans="2:5" x14ac:dyDescent="0.35">
      <c r="B28" s="9" t="s">
        <v>145</v>
      </c>
      <c r="C28" s="9">
        <v>26</v>
      </c>
      <c r="D28" s="10">
        <v>8.2602173100000009E-2</v>
      </c>
      <c r="E28" s="10">
        <v>0.15126513960000251</v>
      </c>
    </row>
    <row r="29" spans="2:5" x14ac:dyDescent="0.35">
      <c r="B29" s="9" t="s">
        <v>146</v>
      </c>
      <c r="C29" s="9">
        <v>27</v>
      </c>
      <c r="D29" s="10">
        <v>8.6066605100000013E-2</v>
      </c>
      <c r="E29" s="10">
        <v>0.15728575730000252</v>
      </c>
    </row>
    <row r="30" spans="2:5" x14ac:dyDescent="0.35">
      <c r="B30" s="9" t="s">
        <v>147</v>
      </c>
      <c r="C30" s="9">
        <v>28</v>
      </c>
      <c r="D30" s="10">
        <v>8.9585119100000013E-2</v>
      </c>
      <c r="E30" s="10">
        <v>0.16329332830000251</v>
      </c>
    </row>
    <row r="31" spans="2:5" x14ac:dyDescent="0.35">
      <c r="B31" s="9" t="s">
        <v>148</v>
      </c>
      <c r="C31" s="9">
        <v>29</v>
      </c>
      <c r="D31" s="10">
        <v>9.3087155000000005E-2</v>
      </c>
      <c r="E31" s="10">
        <v>0.16939202020000252</v>
      </c>
    </row>
    <row r="32" spans="2:5" x14ac:dyDescent="0.35">
      <c r="B32" s="9" t="s">
        <v>149</v>
      </c>
      <c r="C32" s="9">
        <v>30</v>
      </c>
      <c r="D32" s="10">
        <v>9.59886197E-2</v>
      </c>
      <c r="E32" s="10">
        <v>0.17484378870000253</v>
      </c>
    </row>
    <row r="33" spans="2:5" x14ac:dyDescent="0.35">
      <c r="B33" s="9" t="s">
        <v>150</v>
      </c>
      <c r="C33" s="9">
        <v>31</v>
      </c>
      <c r="D33" s="10">
        <v>9.8413167900000001E-2</v>
      </c>
      <c r="E33" s="10">
        <v>0.17982027080000254</v>
      </c>
    </row>
    <row r="34" spans="2:5" x14ac:dyDescent="0.35">
      <c r="B34" s="9" t="s">
        <v>151</v>
      </c>
      <c r="C34" s="9">
        <v>32</v>
      </c>
      <c r="D34" s="10">
        <v>0.10167789050000001</v>
      </c>
      <c r="E34" s="10">
        <v>0.18581309690000253</v>
      </c>
    </row>
    <row r="35" spans="2:5" x14ac:dyDescent="0.35">
      <c r="B35" s="9" t="s">
        <v>152</v>
      </c>
      <c r="C35" s="9">
        <v>33</v>
      </c>
      <c r="D35" s="10">
        <v>0.10513432930000001</v>
      </c>
      <c r="E35" s="10">
        <v>0.19174685060000252</v>
      </c>
    </row>
    <row r="36" spans="2:5" x14ac:dyDescent="0.35">
      <c r="B36" s="9" t="s">
        <v>153</v>
      </c>
      <c r="C36" s="9">
        <v>34</v>
      </c>
      <c r="D36" s="10">
        <v>0.10857325030000001</v>
      </c>
      <c r="E36" s="10">
        <v>0.19766135770000251</v>
      </c>
    </row>
    <row r="37" spans="2:5" x14ac:dyDescent="0.35">
      <c r="B37" s="9" t="s">
        <v>154</v>
      </c>
      <c r="C37" s="9">
        <v>35</v>
      </c>
      <c r="D37" s="10">
        <v>0.11206569080000001</v>
      </c>
      <c r="E37" s="10">
        <v>0.20355755440000251</v>
      </c>
    </row>
    <row r="38" spans="2:5" x14ac:dyDescent="0.35">
      <c r="B38" s="9" t="s">
        <v>155</v>
      </c>
      <c r="C38" s="9">
        <v>36</v>
      </c>
      <c r="D38" s="10">
        <v>0.11553934490000001</v>
      </c>
      <c r="E38" s="10">
        <v>0.20953384120000251</v>
      </c>
    </row>
    <row r="39" spans="2:5" x14ac:dyDescent="0.35">
      <c r="B39" s="9" t="s">
        <v>156</v>
      </c>
      <c r="C39" s="9">
        <v>37</v>
      </c>
      <c r="D39" s="10">
        <v>0.11841781680000001</v>
      </c>
      <c r="E39" s="10">
        <v>0.21487100140000251</v>
      </c>
    </row>
    <row r="40" spans="2:5" x14ac:dyDescent="0.35">
      <c r="B40" s="9" t="s">
        <v>157</v>
      </c>
      <c r="C40" s="9">
        <v>38</v>
      </c>
      <c r="D40" s="10">
        <v>0.1208187787</v>
      </c>
      <c r="E40" s="10">
        <v>0.21973919730000252</v>
      </c>
    </row>
    <row r="41" spans="2:5" x14ac:dyDescent="0.35">
      <c r="B41" s="9" t="s">
        <v>158</v>
      </c>
      <c r="C41" s="9">
        <v>39</v>
      </c>
      <c r="D41" s="10">
        <v>0.1240516036</v>
      </c>
      <c r="E41" s="10">
        <v>0.22558927310000251</v>
      </c>
    </row>
    <row r="42" spans="2:5" x14ac:dyDescent="0.35">
      <c r="B42" s="9" t="s">
        <v>159</v>
      </c>
      <c r="C42" s="9">
        <v>40</v>
      </c>
      <c r="D42" s="10">
        <v>0.12747445770000002</v>
      </c>
      <c r="E42" s="10">
        <v>0.23137334600000251</v>
      </c>
    </row>
    <row r="43" spans="2:5" x14ac:dyDescent="0.35">
      <c r="B43" s="9" t="s">
        <v>160</v>
      </c>
      <c r="C43" s="9">
        <v>41</v>
      </c>
      <c r="D43" s="10">
        <v>0.13087922640000002</v>
      </c>
      <c r="E43" s="10">
        <v>0.2371326410000025</v>
      </c>
    </row>
    <row r="44" spans="2:5" x14ac:dyDescent="0.35">
      <c r="B44" s="9" t="s">
        <v>161</v>
      </c>
      <c r="C44" s="9">
        <v>42</v>
      </c>
      <c r="D44" s="10">
        <v>0.13433580650000002</v>
      </c>
      <c r="E44" s="10">
        <v>0.2428643084000025</v>
      </c>
    </row>
    <row r="45" spans="2:5" x14ac:dyDescent="0.35">
      <c r="B45" s="9" t="s">
        <v>162</v>
      </c>
      <c r="C45" s="9">
        <v>43</v>
      </c>
      <c r="D45" s="10">
        <v>0.13777297470000002</v>
      </c>
      <c r="E45" s="10">
        <v>0.24866673630000249</v>
      </c>
    </row>
    <row r="46" spans="2:5" x14ac:dyDescent="0.35">
      <c r="B46" s="9" t="s">
        <v>163</v>
      </c>
      <c r="C46" s="9">
        <v>44</v>
      </c>
      <c r="D46" s="10">
        <v>0.14062131200000003</v>
      </c>
      <c r="E46" s="10">
        <v>0.25384186590000252</v>
      </c>
    </row>
    <row r="47" spans="2:5" x14ac:dyDescent="0.35">
      <c r="B47" s="9" t="s">
        <v>164</v>
      </c>
      <c r="C47" s="9">
        <v>45</v>
      </c>
      <c r="D47" s="10">
        <v>0.14299063550000002</v>
      </c>
      <c r="E47" s="10">
        <v>0.25855417890000254</v>
      </c>
    </row>
    <row r="48" spans="2:5" x14ac:dyDescent="0.35">
      <c r="B48" s="9" t="s">
        <v>165</v>
      </c>
      <c r="C48" s="9">
        <v>46</v>
      </c>
      <c r="D48" s="10">
        <v>0.14618281700000002</v>
      </c>
      <c r="E48" s="10">
        <v>0.26420788470000256</v>
      </c>
    </row>
    <row r="49" spans="2:5" x14ac:dyDescent="0.35">
      <c r="B49" s="9" t="s">
        <v>166</v>
      </c>
      <c r="C49" s="9">
        <v>47</v>
      </c>
      <c r="D49" s="10">
        <v>0.14956407940000002</v>
      </c>
      <c r="E49" s="10">
        <v>0.26978922270000255</v>
      </c>
    </row>
    <row r="50" spans="2:5" x14ac:dyDescent="0.35">
      <c r="B50" s="9" t="s">
        <v>167</v>
      </c>
      <c r="C50" s="9">
        <v>48</v>
      </c>
      <c r="D50" s="10">
        <v>0.15292528230000002</v>
      </c>
      <c r="E50" s="10">
        <v>0.27533542880000256</v>
      </c>
    </row>
    <row r="51" spans="2:5" x14ac:dyDescent="0.35">
      <c r="B51" s="9" t="s">
        <v>168</v>
      </c>
      <c r="C51" s="9">
        <v>49</v>
      </c>
      <c r="D51" s="10">
        <v>0.15633739110000003</v>
      </c>
      <c r="E51" s="10">
        <v>0.28084717910000256</v>
      </c>
    </row>
    <row r="52" spans="2:5" x14ac:dyDescent="0.35">
      <c r="B52" s="9" t="s">
        <v>169</v>
      </c>
      <c r="C52" s="9">
        <v>50</v>
      </c>
      <c r="D52" s="10">
        <v>0.15972884250000002</v>
      </c>
      <c r="E52" s="10">
        <v>0.28641788710000254</v>
      </c>
    </row>
    <row r="53" spans="2:5" x14ac:dyDescent="0.35">
      <c r="B53" s="9" t="s">
        <v>170</v>
      </c>
      <c r="C53" s="9">
        <v>51</v>
      </c>
      <c r="D53" s="10">
        <v>0.16254031220000004</v>
      </c>
      <c r="E53" s="10">
        <v>0.29137664710000255</v>
      </c>
    </row>
    <row r="54" spans="2:5" x14ac:dyDescent="0.35">
      <c r="B54" s="9" t="s">
        <v>171</v>
      </c>
      <c r="C54" s="9">
        <v>52</v>
      </c>
      <c r="D54" s="10">
        <v>0.16487183960000004</v>
      </c>
      <c r="E54" s="10">
        <v>0.29588271310000253</v>
      </c>
    </row>
    <row r="55" spans="2:5" x14ac:dyDescent="0.35">
      <c r="B55" s="9" t="s">
        <v>172</v>
      </c>
      <c r="C55" s="9">
        <v>53</v>
      </c>
      <c r="D55" s="10">
        <v>0.16801489840000003</v>
      </c>
      <c r="E55" s="10">
        <v>0.30128128710000252</v>
      </c>
    </row>
    <row r="56" spans="2:5" x14ac:dyDescent="0.35">
      <c r="B56" s="9" t="s">
        <v>173</v>
      </c>
      <c r="C56" s="9">
        <v>54</v>
      </c>
      <c r="D56" s="10">
        <v>0.17134552300000003</v>
      </c>
      <c r="E56" s="10">
        <v>0.30660060230000252</v>
      </c>
    </row>
    <row r="57" spans="2:5" x14ac:dyDescent="0.35">
      <c r="B57" s="9" t="s">
        <v>174</v>
      </c>
      <c r="C57" s="9">
        <v>55</v>
      </c>
      <c r="D57" s="10">
        <v>0.17465581070000002</v>
      </c>
      <c r="E57" s="10">
        <v>0.3118782390000025</v>
      </c>
    </row>
    <row r="58" spans="2:5" x14ac:dyDescent="0.35">
      <c r="B58" s="9" t="s">
        <v>175</v>
      </c>
      <c r="C58" s="9">
        <v>56</v>
      </c>
      <c r="D58" s="10">
        <v>0.17801585500000003</v>
      </c>
      <c r="E58" s="10">
        <v>0.3171133357000025</v>
      </c>
    </row>
    <row r="59" spans="2:5" x14ac:dyDescent="0.35">
      <c r="B59" s="9" t="s">
        <v>176</v>
      </c>
      <c r="C59" s="9">
        <v>57</v>
      </c>
      <c r="D59" s="10">
        <v>0.18135411030000004</v>
      </c>
      <c r="E59" s="10">
        <v>0.32239442840000249</v>
      </c>
    </row>
    <row r="60" spans="2:5" x14ac:dyDescent="0.35">
      <c r="B60" s="9" t="s">
        <v>177</v>
      </c>
      <c r="C60" s="9">
        <v>58</v>
      </c>
      <c r="D60" s="10">
        <v>0.18412237900000003</v>
      </c>
      <c r="E60" s="10">
        <v>0.32708289240000249</v>
      </c>
    </row>
    <row r="61" spans="2:5" x14ac:dyDescent="0.35">
      <c r="B61" s="9" t="s">
        <v>178</v>
      </c>
      <c r="C61" s="9">
        <v>59</v>
      </c>
      <c r="D61" s="10">
        <v>0.18641046200000003</v>
      </c>
      <c r="E61" s="10">
        <v>0.33133275070000251</v>
      </c>
    </row>
    <row r="62" spans="2:5" x14ac:dyDescent="0.35">
      <c r="B62" s="9" t="s">
        <v>179</v>
      </c>
      <c r="C62" s="9">
        <v>60</v>
      </c>
      <c r="D62" s="10">
        <v>0.18949759360000001</v>
      </c>
      <c r="E62" s="10">
        <v>0.33642158590000248</v>
      </c>
    </row>
    <row r="63" spans="2:5" x14ac:dyDescent="0.35">
      <c r="B63" s="9" t="s">
        <v>180</v>
      </c>
      <c r="C63" s="9">
        <v>61</v>
      </c>
      <c r="D63" s="10">
        <v>0.19277114070000001</v>
      </c>
      <c r="E63" s="10">
        <v>0.34142487380000247</v>
      </c>
    </row>
    <row r="64" spans="2:5" x14ac:dyDescent="0.35">
      <c r="B64" s="9" t="s">
        <v>181</v>
      </c>
      <c r="C64" s="9">
        <v>62</v>
      </c>
      <c r="D64" s="10">
        <v>0.19602327800000002</v>
      </c>
      <c r="E64" s="10">
        <v>0.34637841980000245</v>
      </c>
    </row>
    <row r="65" spans="2:5" x14ac:dyDescent="0.35">
      <c r="B65" s="9" t="s">
        <v>182</v>
      </c>
      <c r="C65" s="9">
        <v>63</v>
      </c>
      <c r="D65" s="10">
        <v>0.19932410650000001</v>
      </c>
      <c r="E65" s="10">
        <v>0.35128148830000244</v>
      </c>
    </row>
    <row r="66" spans="2:5" x14ac:dyDescent="0.35">
      <c r="B66" s="9" t="s">
        <v>183</v>
      </c>
      <c r="C66" s="9">
        <v>64</v>
      </c>
      <c r="D66" s="10">
        <v>0.20260214030000001</v>
      </c>
      <c r="E66" s="10">
        <v>0.35621769120000246</v>
      </c>
    </row>
    <row r="67" spans="2:5" x14ac:dyDescent="0.35">
      <c r="B67" s="9" t="s">
        <v>184</v>
      </c>
      <c r="C67" s="9">
        <v>65</v>
      </c>
      <c r="D67" s="10">
        <v>0.2053227926</v>
      </c>
      <c r="E67" s="10">
        <v>0.36058669470000249</v>
      </c>
    </row>
    <row r="68" spans="2:5" x14ac:dyDescent="0.35">
      <c r="B68" s="9" t="s">
        <v>185</v>
      </c>
      <c r="C68" s="9">
        <v>66</v>
      </c>
      <c r="D68" s="10">
        <v>0.2075623664</v>
      </c>
      <c r="E68" s="10">
        <v>0.36453385060000248</v>
      </c>
    </row>
    <row r="69" spans="2:5" x14ac:dyDescent="0.35">
      <c r="B69" s="9" t="s">
        <v>186</v>
      </c>
      <c r="C69" s="9">
        <v>67</v>
      </c>
      <c r="D69" s="10">
        <v>0.21058778880000001</v>
      </c>
      <c r="E69" s="10">
        <v>0.36926254200000247</v>
      </c>
    </row>
    <row r="70" spans="2:5" x14ac:dyDescent="0.35">
      <c r="B70" s="9" t="s">
        <v>187</v>
      </c>
      <c r="C70" s="9">
        <v>68</v>
      </c>
      <c r="D70" s="10">
        <v>0.21379943410000002</v>
      </c>
      <c r="E70" s="10">
        <v>0.37390303710000244</v>
      </c>
    </row>
    <row r="71" spans="2:5" x14ac:dyDescent="0.35">
      <c r="B71" s="9" t="s">
        <v>188</v>
      </c>
      <c r="C71" s="9">
        <v>69</v>
      </c>
      <c r="D71" s="10">
        <v>0.21698891800000003</v>
      </c>
      <c r="E71" s="10">
        <v>0.37848741320000245</v>
      </c>
    </row>
    <row r="72" spans="2:5" x14ac:dyDescent="0.35">
      <c r="B72" s="9" t="s">
        <v>189</v>
      </c>
      <c r="C72" s="9">
        <v>70</v>
      </c>
      <c r="D72" s="10">
        <v>0.22022696360000002</v>
      </c>
      <c r="E72" s="10">
        <v>0.38301651130000247</v>
      </c>
    </row>
    <row r="73" spans="2:5" x14ac:dyDescent="0.35">
      <c r="B73" s="9" t="s">
        <v>190</v>
      </c>
      <c r="C73" s="9">
        <v>71</v>
      </c>
      <c r="D73" s="10">
        <v>0.22344154860000001</v>
      </c>
      <c r="E73" s="10">
        <v>0.38756743690000245</v>
      </c>
    </row>
    <row r="74" spans="2:5" x14ac:dyDescent="0.35">
      <c r="B74" s="9" t="s">
        <v>191</v>
      </c>
      <c r="C74" s="9">
        <v>72</v>
      </c>
      <c r="D74" s="10">
        <v>0.22611186750000001</v>
      </c>
      <c r="E74" s="10">
        <v>0.39157867850000244</v>
      </c>
    </row>
    <row r="75" spans="2:5" x14ac:dyDescent="0.35">
      <c r="B75" s="9" t="s">
        <v>192</v>
      </c>
      <c r="C75" s="9">
        <v>73</v>
      </c>
      <c r="D75" s="10">
        <v>0.22830102390000001</v>
      </c>
      <c r="E75" s="10">
        <v>0.39518878040000244</v>
      </c>
    </row>
    <row r="76" spans="2:5" x14ac:dyDescent="0.35">
      <c r="B76" s="9" t="s">
        <v>193</v>
      </c>
      <c r="C76" s="9">
        <v>74</v>
      </c>
      <c r="D76" s="10">
        <v>0.23126175730000001</v>
      </c>
      <c r="E76" s="10">
        <v>0.39952000080000244</v>
      </c>
    </row>
    <row r="77" spans="2:5" x14ac:dyDescent="0.35">
      <c r="B77" s="9" t="s">
        <v>194</v>
      </c>
      <c r="C77" s="9">
        <v>75</v>
      </c>
      <c r="D77" s="10">
        <v>0.23440855260000001</v>
      </c>
      <c r="E77" s="10">
        <v>0.40376007050000245</v>
      </c>
    </row>
    <row r="78" spans="2:5" x14ac:dyDescent="0.35">
      <c r="B78" s="9" t="s">
        <v>195</v>
      </c>
      <c r="C78" s="9">
        <v>76</v>
      </c>
      <c r="D78" s="10">
        <v>0.23753309330000003</v>
      </c>
      <c r="E78" s="10">
        <v>0.40794085150000248</v>
      </c>
    </row>
    <row r="79" spans="2:5" x14ac:dyDescent="0.35">
      <c r="B79" s="9" t="s">
        <v>196</v>
      </c>
      <c r="C79" s="9">
        <v>77</v>
      </c>
      <c r="D79" s="10">
        <v>0.24070583330000003</v>
      </c>
      <c r="E79" s="10">
        <v>0.41206211270000248</v>
      </c>
    </row>
    <row r="80" spans="2:5" x14ac:dyDescent="0.35">
      <c r="B80" s="9" t="s">
        <v>197</v>
      </c>
      <c r="C80" s="9">
        <v>78</v>
      </c>
      <c r="D80" s="10">
        <v>0.24385554300000004</v>
      </c>
      <c r="E80" s="10">
        <v>0.41619680390000247</v>
      </c>
    </row>
    <row r="81" spans="2:5" x14ac:dyDescent="0.35">
      <c r="B81" s="9" t="s">
        <v>198</v>
      </c>
      <c r="C81" s="9">
        <v>79</v>
      </c>
      <c r="D81" s="10">
        <v>0.24647557830000003</v>
      </c>
      <c r="E81" s="10">
        <v>0.41982559600000247</v>
      </c>
    </row>
    <row r="82" spans="2:5" x14ac:dyDescent="0.35">
      <c r="B82" s="9" t="s">
        <v>199</v>
      </c>
      <c r="C82" s="9">
        <v>80</v>
      </c>
      <c r="D82" s="10">
        <v>0.24861477800000004</v>
      </c>
      <c r="E82" s="10">
        <v>0.42307704810000246</v>
      </c>
    </row>
    <row r="83" spans="2:5" x14ac:dyDescent="0.35">
      <c r="B83" s="9" t="s">
        <v>200</v>
      </c>
      <c r="C83" s="9">
        <v>81</v>
      </c>
      <c r="D83" s="10">
        <v>0.25151107210000001</v>
      </c>
      <c r="E83" s="10">
        <v>0.42698844970000244</v>
      </c>
    </row>
    <row r="84" spans="2:5" x14ac:dyDescent="0.35">
      <c r="B84" s="9" t="s">
        <v>201</v>
      </c>
      <c r="C84" s="9">
        <v>82</v>
      </c>
      <c r="D84" s="10">
        <v>0.2545935419</v>
      </c>
      <c r="E84" s="10">
        <v>0.43081013570000243</v>
      </c>
    </row>
    <row r="85" spans="2:5" x14ac:dyDescent="0.35">
      <c r="B85" s="9" t="s">
        <v>202</v>
      </c>
      <c r="C85" s="9">
        <v>83</v>
      </c>
      <c r="D85" s="10">
        <v>0.25765440340000001</v>
      </c>
      <c r="E85" s="10">
        <v>0.43457180920000243</v>
      </c>
    </row>
    <row r="86" spans="2:5" x14ac:dyDescent="0.35">
      <c r="B86" s="9" t="s">
        <v>203</v>
      </c>
      <c r="C86" s="9">
        <v>84</v>
      </c>
      <c r="D86" s="10">
        <v>0.26076391199999999</v>
      </c>
      <c r="E86" s="10">
        <v>0.43827353660000246</v>
      </c>
    </row>
    <row r="87" spans="2:5" x14ac:dyDescent="0.35">
      <c r="B87" s="9" t="s">
        <v>204</v>
      </c>
      <c r="C87" s="9">
        <v>85</v>
      </c>
      <c r="D87" s="10">
        <v>0.26385022229999999</v>
      </c>
      <c r="E87" s="10">
        <v>0.44198106570000245</v>
      </c>
    </row>
    <row r="88" spans="2:5" x14ac:dyDescent="0.35">
      <c r="B88" s="9" t="s">
        <v>205</v>
      </c>
      <c r="C88" s="9">
        <v>86</v>
      </c>
      <c r="D88" s="10">
        <v>0.26642268400000002</v>
      </c>
      <c r="E88" s="10">
        <v>0.44520636860000246</v>
      </c>
    </row>
    <row r="89" spans="2:5" x14ac:dyDescent="0.35">
      <c r="B89" s="9" t="s">
        <v>206</v>
      </c>
      <c r="C89" s="9">
        <v>87</v>
      </c>
      <c r="D89" s="10">
        <v>0.2685067451</v>
      </c>
      <c r="E89" s="10">
        <v>0.44807094170000245</v>
      </c>
    </row>
    <row r="90" spans="2:5" x14ac:dyDescent="0.35">
      <c r="B90" s="9" t="s">
        <v>207</v>
      </c>
      <c r="C90" s="9">
        <v>88</v>
      </c>
      <c r="D90" s="10">
        <v>0.2713275141</v>
      </c>
      <c r="E90" s="10">
        <v>0.45154836090000244</v>
      </c>
    </row>
    <row r="91" spans="2:5" x14ac:dyDescent="0.35">
      <c r="B91" s="9" t="s">
        <v>208</v>
      </c>
      <c r="C91" s="9">
        <v>89</v>
      </c>
      <c r="D91" s="10">
        <v>0.27433377819999999</v>
      </c>
      <c r="E91" s="10">
        <v>0.45494583920000242</v>
      </c>
    </row>
    <row r="92" spans="2:5" x14ac:dyDescent="0.35">
      <c r="B92" s="9" t="s">
        <v>209</v>
      </c>
      <c r="C92" s="9">
        <v>90</v>
      </c>
      <c r="D92" s="10">
        <v>0.27732041019999998</v>
      </c>
      <c r="E92" s="10">
        <v>0.45828636960000241</v>
      </c>
    </row>
    <row r="93" spans="2:5" x14ac:dyDescent="0.35">
      <c r="B93" s="9" t="s">
        <v>210</v>
      </c>
      <c r="C93" s="9">
        <v>91</v>
      </c>
      <c r="D93" s="10">
        <v>0.28035496039999996</v>
      </c>
      <c r="E93" s="10">
        <v>0.46156736050000241</v>
      </c>
    </row>
    <row r="94" spans="2:5" x14ac:dyDescent="0.35">
      <c r="B94" s="9" t="s">
        <v>211</v>
      </c>
      <c r="C94" s="9">
        <v>92</v>
      </c>
      <c r="D94" s="10">
        <v>0.28337200369999999</v>
      </c>
      <c r="E94" s="10">
        <v>0.46485928930000242</v>
      </c>
    </row>
    <row r="95" spans="2:5" x14ac:dyDescent="0.35">
      <c r="B95" s="9" t="s">
        <v>212</v>
      </c>
      <c r="C95" s="9">
        <v>93</v>
      </c>
      <c r="D95" s="10">
        <v>0.28588489</v>
      </c>
      <c r="E95" s="10">
        <v>0.46772105210000242</v>
      </c>
    </row>
    <row r="96" spans="2:5" x14ac:dyDescent="0.35">
      <c r="B96" s="9" t="s">
        <v>213</v>
      </c>
      <c r="C96" s="9">
        <v>94</v>
      </c>
      <c r="D96" s="10">
        <v>0.28791617959999999</v>
      </c>
      <c r="E96" s="10">
        <v>0.47024343790000245</v>
      </c>
    </row>
    <row r="97" spans="2:5" x14ac:dyDescent="0.35">
      <c r="B97" s="9" t="s">
        <v>214</v>
      </c>
      <c r="C97" s="9">
        <v>95</v>
      </c>
      <c r="D97" s="10">
        <v>0.28987010930000001</v>
      </c>
      <c r="E97" s="10">
        <v>0.47331510550000244</v>
      </c>
    </row>
    <row r="98" spans="2:5" x14ac:dyDescent="0.35">
      <c r="B98" s="9" t="s">
        <v>215</v>
      </c>
      <c r="C98" s="9">
        <v>96</v>
      </c>
      <c r="D98" s="10">
        <v>0.29275922660000003</v>
      </c>
      <c r="E98" s="10">
        <v>0.47630769850000243</v>
      </c>
    </row>
    <row r="99" spans="2:5" x14ac:dyDescent="0.35">
      <c r="B99" s="9" t="s">
        <v>216</v>
      </c>
      <c r="C99" s="9">
        <v>97</v>
      </c>
      <c r="D99" s="10">
        <v>0.29569068470000004</v>
      </c>
      <c r="E99" s="10">
        <v>0.47924455670000243</v>
      </c>
    </row>
    <row r="100" spans="2:5" x14ac:dyDescent="0.35">
      <c r="B100" s="9" t="s">
        <v>217</v>
      </c>
      <c r="C100" s="9">
        <v>98</v>
      </c>
      <c r="D100" s="10">
        <v>0.29867121990000006</v>
      </c>
      <c r="E100" s="10">
        <v>0.48212648490000243</v>
      </c>
    </row>
    <row r="101" spans="2:5" x14ac:dyDescent="0.35">
      <c r="B101" s="9" t="s">
        <v>218</v>
      </c>
      <c r="C101" s="9">
        <v>99</v>
      </c>
      <c r="D101" s="10">
        <v>0.30163498960000007</v>
      </c>
      <c r="E101" s="10">
        <v>0.48501496740000244</v>
      </c>
    </row>
    <row r="102" spans="2:5" x14ac:dyDescent="0.35">
      <c r="B102" s="9" t="s">
        <v>219</v>
      </c>
      <c r="C102" s="9">
        <v>100</v>
      </c>
      <c r="D102" s="10">
        <v>0.30411121110000006</v>
      </c>
      <c r="E102" s="10">
        <v>0.48751532340000242</v>
      </c>
    </row>
    <row r="103" spans="2:5" x14ac:dyDescent="0.35">
      <c r="B103" s="9" t="s">
        <v>220</v>
      </c>
      <c r="C103" s="9">
        <v>101</v>
      </c>
      <c r="D103" s="10">
        <v>0.30610289670000007</v>
      </c>
      <c r="E103" s="10">
        <v>0.48971053390000241</v>
      </c>
    </row>
    <row r="104" spans="2:5" x14ac:dyDescent="0.35">
      <c r="B104" s="9" t="s">
        <v>221</v>
      </c>
      <c r="C104" s="9">
        <v>102</v>
      </c>
      <c r="D104" s="10">
        <v>0.30881723170000008</v>
      </c>
      <c r="E104" s="10">
        <v>0.4923955969000024</v>
      </c>
    </row>
    <row r="105" spans="2:5" x14ac:dyDescent="0.35">
      <c r="B105" s="9" t="s">
        <v>222</v>
      </c>
      <c r="C105" s="9">
        <v>103</v>
      </c>
      <c r="D105" s="10">
        <v>0.31171868250000007</v>
      </c>
      <c r="E105" s="10">
        <v>0.49500951590000242</v>
      </c>
    </row>
    <row r="106" spans="2:5" x14ac:dyDescent="0.35">
      <c r="B106" s="9" t="s">
        <v>223</v>
      </c>
      <c r="C106" s="9">
        <v>104</v>
      </c>
      <c r="D106" s="10">
        <v>0.31460241900000008</v>
      </c>
      <c r="E106" s="10">
        <v>0.49757241360000243</v>
      </c>
    </row>
    <row r="107" spans="2:5" x14ac:dyDescent="0.35">
      <c r="B107" s="9" t="s">
        <v>224</v>
      </c>
      <c r="C107" s="9">
        <v>105</v>
      </c>
      <c r="D107" s="10">
        <v>0.31753619040000008</v>
      </c>
      <c r="E107" s="10">
        <v>0.5000838790000024</v>
      </c>
    </row>
    <row r="108" spans="2:5" x14ac:dyDescent="0.35">
      <c r="B108" s="9" t="s">
        <v>225</v>
      </c>
      <c r="C108" s="9">
        <v>106</v>
      </c>
      <c r="D108" s="10">
        <v>0.32045444760000008</v>
      </c>
      <c r="E108" s="10">
        <v>0.5026007369000024</v>
      </c>
    </row>
    <row r="109" spans="2:5" x14ac:dyDescent="0.35">
      <c r="B109" s="9" t="s">
        <v>226</v>
      </c>
      <c r="C109" s="9">
        <v>107</v>
      </c>
      <c r="D109" s="10">
        <v>0.32290178260000008</v>
      </c>
      <c r="E109" s="10">
        <v>0.50477225370000245</v>
      </c>
    </row>
    <row r="110" spans="2:5" x14ac:dyDescent="0.35">
      <c r="B110" s="9" t="s">
        <v>227</v>
      </c>
      <c r="C110" s="9">
        <v>108</v>
      </c>
      <c r="D110" s="10">
        <v>0.32486568100000007</v>
      </c>
      <c r="E110" s="10">
        <v>0.50667329170000242</v>
      </c>
    </row>
    <row r="111" spans="2:5" x14ac:dyDescent="0.35">
      <c r="B111" s="9" t="s">
        <v>228</v>
      </c>
      <c r="C111" s="9">
        <v>109</v>
      </c>
      <c r="D111" s="10">
        <v>0.32753803510000007</v>
      </c>
      <c r="E111" s="10">
        <v>0.5090077524000024</v>
      </c>
    </row>
    <row r="112" spans="2:5" x14ac:dyDescent="0.35">
      <c r="B112" s="9" t="s">
        <v>229</v>
      </c>
      <c r="C112" s="9">
        <v>110</v>
      </c>
      <c r="D112" s="10">
        <v>0.33039864140000008</v>
      </c>
      <c r="E112" s="10">
        <v>0.51127828600000236</v>
      </c>
    </row>
    <row r="113" spans="2:5" x14ac:dyDescent="0.35">
      <c r="B113" s="9" t="s">
        <v>230</v>
      </c>
      <c r="C113" s="9">
        <v>111</v>
      </c>
      <c r="D113" s="10">
        <v>0.33324233340000009</v>
      </c>
      <c r="E113" s="10">
        <v>0.51350185480000232</v>
      </c>
    </row>
    <row r="114" spans="2:5" x14ac:dyDescent="0.35">
      <c r="B114" s="9" t="s">
        <v>231</v>
      </c>
      <c r="C114" s="9">
        <v>112</v>
      </c>
      <c r="D114" s="10">
        <v>0.33613763120000006</v>
      </c>
      <c r="E114" s="10">
        <v>0.51568103010000232</v>
      </c>
    </row>
    <row r="115" spans="2:5" x14ac:dyDescent="0.35">
      <c r="B115" s="9" t="s">
        <v>232</v>
      </c>
      <c r="C115" s="9">
        <v>113</v>
      </c>
      <c r="D115" s="10">
        <v>0.33901839760000008</v>
      </c>
      <c r="E115" s="10">
        <v>0.51786431830000235</v>
      </c>
    </row>
    <row r="116" spans="2:5" x14ac:dyDescent="0.35">
      <c r="B116" s="9" t="s">
        <v>233</v>
      </c>
      <c r="C116" s="9">
        <v>114</v>
      </c>
      <c r="D116" s="10">
        <v>0.3414439291000001</v>
      </c>
      <c r="E116" s="10">
        <v>0.5197437959000023</v>
      </c>
    </row>
    <row r="117" spans="2:5" x14ac:dyDescent="0.35">
      <c r="B117" s="9" t="s">
        <v>234</v>
      </c>
      <c r="C117" s="9">
        <v>115</v>
      </c>
      <c r="D117" s="10">
        <v>0.34338711760000012</v>
      </c>
      <c r="E117" s="10">
        <v>0.52138639750000226</v>
      </c>
    </row>
    <row r="118" spans="2:5" x14ac:dyDescent="0.35">
      <c r="B118" s="9" t="s">
        <v>235</v>
      </c>
      <c r="C118" s="9">
        <v>116</v>
      </c>
      <c r="D118" s="10">
        <v>0.34602485360000013</v>
      </c>
      <c r="E118" s="10">
        <v>0.52340704420000228</v>
      </c>
    </row>
    <row r="119" spans="2:5" x14ac:dyDescent="0.35">
      <c r="B119" s="9" t="s">
        <v>236</v>
      </c>
      <c r="C119" s="9">
        <v>117</v>
      </c>
      <c r="D119" s="10">
        <v>0.34885165020000014</v>
      </c>
      <c r="E119" s="10">
        <v>0.52537096060000232</v>
      </c>
    </row>
    <row r="120" spans="2:5" x14ac:dyDescent="0.35">
      <c r="B120" s="9" t="s">
        <v>237</v>
      </c>
      <c r="C120" s="9">
        <v>118</v>
      </c>
      <c r="D120" s="10">
        <v>0.35166301230000013</v>
      </c>
      <c r="E120" s="10">
        <v>0.52729477440000228</v>
      </c>
    </row>
    <row r="121" spans="2:5" x14ac:dyDescent="0.35">
      <c r="B121" s="9" t="s">
        <v>238</v>
      </c>
      <c r="C121" s="9">
        <v>119</v>
      </c>
      <c r="D121" s="10">
        <v>0.35452647230000012</v>
      </c>
      <c r="E121" s="10">
        <v>0.52917838920000226</v>
      </c>
    </row>
    <row r="122" spans="2:5" x14ac:dyDescent="0.35">
      <c r="B122" s="9" t="s">
        <v>239</v>
      </c>
      <c r="C122" s="9">
        <v>120</v>
      </c>
      <c r="D122" s="10">
        <v>0.35737059100000013</v>
      </c>
      <c r="E122" s="10">
        <v>0.53106519590000223</v>
      </c>
    </row>
    <row r="123" spans="2:5" x14ac:dyDescent="0.35">
      <c r="B123" s="9" t="s">
        <v>240</v>
      </c>
      <c r="C123" s="9">
        <v>121</v>
      </c>
      <c r="D123" s="10">
        <v>0.35948571350000014</v>
      </c>
      <c r="E123" s="10">
        <v>0.53268821180000225</v>
      </c>
    </row>
    <row r="124" spans="2:5" x14ac:dyDescent="0.35">
      <c r="B124" s="9" t="s">
        <v>241</v>
      </c>
      <c r="C124" s="9">
        <v>122</v>
      </c>
      <c r="D124" s="10">
        <v>0.36141421750000013</v>
      </c>
      <c r="E124" s="10">
        <v>0.53410638310000225</v>
      </c>
    </row>
    <row r="125" spans="2:5" x14ac:dyDescent="0.35">
      <c r="B125" s="9" t="s">
        <v>242</v>
      </c>
      <c r="C125" s="9">
        <v>123</v>
      </c>
      <c r="D125" s="10">
        <v>0.36402423430000014</v>
      </c>
      <c r="E125" s="10">
        <v>0.53585080270000229</v>
      </c>
    </row>
    <row r="126" spans="2:5" x14ac:dyDescent="0.35">
      <c r="B126" s="9" t="s">
        <v>243</v>
      </c>
      <c r="C126" s="9">
        <v>124</v>
      </c>
      <c r="D126" s="10">
        <v>0.36682412100000011</v>
      </c>
      <c r="E126" s="10">
        <v>0.53754560050000233</v>
      </c>
    </row>
    <row r="127" spans="2:5" x14ac:dyDescent="0.35">
      <c r="B127" s="9" t="s">
        <v>244</v>
      </c>
      <c r="C127" s="9">
        <v>125</v>
      </c>
      <c r="D127" s="10">
        <v>0.36960935070000012</v>
      </c>
      <c r="E127" s="10">
        <v>0.53920522800000237</v>
      </c>
    </row>
    <row r="128" spans="2:5" x14ac:dyDescent="0.35">
      <c r="B128" s="9" t="s">
        <v>245</v>
      </c>
      <c r="C128" s="9">
        <v>126</v>
      </c>
      <c r="D128" s="10">
        <v>0.37244769820000012</v>
      </c>
      <c r="E128" s="10">
        <v>0.54083129300000232</v>
      </c>
    </row>
    <row r="129" spans="2:5" x14ac:dyDescent="0.35">
      <c r="B129" s="9" t="s">
        <v>246</v>
      </c>
      <c r="C129" s="9">
        <v>127</v>
      </c>
      <c r="D129" s="10">
        <v>0.37527344150000014</v>
      </c>
      <c r="E129" s="10">
        <v>0.54246056890000227</v>
      </c>
    </row>
    <row r="130" spans="2:5" x14ac:dyDescent="0.35">
      <c r="B130" s="9" t="s">
        <v>247</v>
      </c>
      <c r="C130" s="9">
        <v>128</v>
      </c>
      <c r="D130" s="10">
        <v>0.37767331340000015</v>
      </c>
      <c r="E130" s="10">
        <v>0.54386548400000223</v>
      </c>
    </row>
    <row r="131" spans="2:5" x14ac:dyDescent="0.35">
      <c r="B131" s="9" t="s">
        <v>248</v>
      </c>
      <c r="C131" s="9">
        <v>129</v>
      </c>
      <c r="D131" s="10">
        <v>0.37959243060000014</v>
      </c>
      <c r="E131" s="10">
        <v>0.54509686590000228</v>
      </c>
    </row>
    <row r="132" spans="2:5" x14ac:dyDescent="0.35">
      <c r="B132" s="9" t="s">
        <v>249</v>
      </c>
      <c r="C132" s="9">
        <v>130</v>
      </c>
      <c r="D132" s="10">
        <v>0.38218069620000011</v>
      </c>
      <c r="E132" s="10">
        <v>0.54660733440000231</v>
      </c>
    </row>
    <row r="133" spans="2:5" x14ac:dyDescent="0.35">
      <c r="B133" s="9" t="s">
        <v>250</v>
      </c>
      <c r="C133" s="9">
        <v>131</v>
      </c>
      <c r="D133" s="10">
        <v>0.38495983200000011</v>
      </c>
      <c r="E133" s="10">
        <v>0.54807640170000227</v>
      </c>
    </row>
    <row r="134" spans="2:5" x14ac:dyDescent="0.35">
      <c r="B134" s="9" t="s">
        <v>251</v>
      </c>
      <c r="C134" s="9">
        <v>132</v>
      </c>
      <c r="D134" s="10">
        <v>0.38772878670000011</v>
      </c>
      <c r="E134" s="10">
        <v>0.54951549060000227</v>
      </c>
    </row>
    <row r="135" spans="2:5" x14ac:dyDescent="0.35">
      <c r="B135" s="9" t="s">
        <v>252</v>
      </c>
      <c r="C135" s="9">
        <v>133</v>
      </c>
      <c r="D135" s="10">
        <v>0.38973308610000013</v>
      </c>
      <c r="E135" s="10">
        <v>0.55092629950000227</v>
      </c>
    </row>
    <row r="136" spans="2:5" x14ac:dyDescent="0.35">
      <c r="B136" s="9" t="s">
        <v>253</v>
      </c>
      <c r="C136" s="9">
        <v>134</v>
      </c>
      <c r="D136" s="10">
        <v>0.39227085760000013</v>
      </c>
      <c r="E136" s="10">
        <v>0.55234009330000222</v>
      </c>
    </row>
    <row r="137" spans="2:5" x14ac:dyDescent="0.35">
      <c r="B137" s="9" t="s">
        <v>254</v>
      </c>
      <c r="C137" s="9">
        <v>135</v>
      </c>
      <c r="D137" s="10">
        <v>0.39466497960000013</v>
      </c>
      <c r="E137" s="10">
        <v>0.55356395510000223</v>
      </c>
    </row>
    <row r="138" spans="2:5" x14ac:dyDescent="0.35">
      <c r="B138" s="9" t="s">
        <v>255</v>
      </c>
      <c r="C138" s="9">
        <v>136</v>
      </c>
      <c r="D138" s="10">
        <v>0.39657865970000011</v>
      </c>
      <c r="E138" s="10">
        <v>0.55464154160000223</v>
      </c>
    </row>
    <row r="139" spans="2:5" x14ac:dyDescent="0.35">
      <c r="B139" s="9" t="s">
        <v>256</v>
      </c>
      <c r="C139" s="9">
        <v>137</v>
      </c>
      <c r="D139" s="10">
        <v>0.39915020800000012</v>
      </c>
      <c r="E139" s="10">
        <v>0.55595313560000226</v>
      </c>
    </row>
    <row r="140" spans="2:5" x14ac:dyDescent="0.35">
      <c r="B140" s="9" t="s">
        <v>257</v>
      </c>
      <c r="C140" s="9">
        <v>138</v>
      </c>
      <c r="D140" s="10">
        <v>0.4019131512000001</v>
      </c>
      <c r="E140" s="10">
        <v>0.55722933990000223</v>
      </c>
    </row>
    <row r="141" spans="2:5" x14ac:dyDescent="0.35">
      <c r="B141" s="9" t="s">
        <v>258</v>
      </c>
      <c r="C141" s="9">
        <v>139</v>
      </c>
      <c r="D141" s="10">
        <v>0.40466276660000011</v>
      </c>
      <c r="E141" s="10">
        <v>0.55848059050000221</v>
      </c>
    </row>
    <row r="142" spans="2:5" x14ac:dyDescent="0.35">
      <c r="B142" s="9" t="s">
        <v>259</v>
      </c>
      <c r="C142" s="9">
        <v>140</v>
      </c>
      <c r="D142" s="10">
        <v>0.40746696650000014</v>
      </c>
      <c r="E142" s="10">
        <v>0.55970771960000221</v>
      </c>
    </row>
    <row r="143" spans="2:5" x14ac:dyDescent="0.35">
      <c r="B143" s="9" t="s">
        <v>260</v>
      </c>
      <c r="C143" s="9">
        <v>141</v>
      </c>
      <c r="D143" s="10">
        <v>0.41025961120000015</v>
      </c>
      <c r="E143" s="10">
        <v>0.56093578440000225</v>
      </c>
    </row>
    <row r="144" spans="2:5" x14ac:dyDescent="0.35">
      <c r="B144" s="9" t="s">
        <v>261</v>
      </c>
      <c r="C144" s="9">
        <v>142</v>
      </c>
      <c r="D144" s="10">
        <v>0.41265075520000016</v>
      </c>
      <c r="E144" s="10">
        <v>0.5620043021000023</v>
      </c>
    </row>
    <row r="145" spans="2:5" x14ac:dyDescent="0.35">
      <c r="B145" s="9" t="s">
        <v>262</v>
      </c>
      <c r="C145" s="9">
        <v>143</v>
      </c>
      <c r="D145" s="10">
        <v>0.41456576290000019</v>
      </c>
      <c r="E145" s="10">
        <v>0.56294972980000224</v>
      </c>
    </row>
    <row r="146" spans="2:5" x14ac:dyDescent="0.35">
      <c r="B146" s="9" t="s">
        <v>263</v>
      </c>
      <c r="C146" s="9">
        <v>144</v>
      </c>
      <c r="D146" s="10">
        <v>0.41631399580000017</v>
      </c>
      <c r="E146" s="10">
        <v>0.56408914570000224</v>
      </c>
    </row>
    <row r="147" spans="2:5" x14ac:dyDescent="0.35">
      <c r="B147" s="9" t="s">
        <v>264</v>
      </c>
      <c r="C147" s="9">
        <v>145</v>
      </c>
      <c r="D147" s="10">
        <v>0.41900382880000014</v>
      </c>
      <c r="E147" s="10">
        <v>0.5651975277000022</v>
      </c>
    </row>
    <row r="148" spans="2:5" x14ac:dyDescent="0.35">
      <c r="B148" s="9" t="s">
        <v>265</v>
      </c>
      <c r="C148" s="9">
        <v>146</v>
      </c>
      <c r="D148" s="10">
        <v>0.42174164460000013</v>
      </c>
      <c r="E148" s="10">
        <v>0.56628257210000221</v>
      </c>
    </row>
    <row r="149" spans="2:5" x14ac:dyDescent="0.35">
      <c r="B149" s="9" t="s">
        <v>266</v>
      </c>
      <c r="C149" s="9">
        <v>147</v>
      </c>
      <c r="D149" s="10">
        <v>0.42453437940000011</v>
      </c>
      <c r="E149" s="10">
        <v>0.56734527640000221</v>
      </c>
    </row>
    <row r="150" spans="2:5" x14ac:dyDescent="0.35">
      <c r="B150" s="9" t="s">
        <v>267</v>
      </c>
      <c r="C150" s="9">
        <v>148</v>
      </c>
      <c r="D150" s="10">
        <v>0.4273160619000001</v>
      </c>
      <c r="E150" s="10">
        <v>0.56840732750000222</v>
      </c>
    </row>
    <row r="151" spans="2:5" x14ac:dyDescent="0.35">
      <c r="B151" s="9" t="s">
        <v>268</v>
      </c>
      <c r="C151" s="9">
        <v>149</v>
      </c>
      <c r="D151" s="10">
        <v>0.42970591040000011</v>
      </c>
      <c r="E151" s="10">
        <v>0.56933502740000219</v>
      </c>
    </row>
    <row r="152" spans="2:5" x14ac:dyDescent="0.35">
      <c r="B152" s="9" t="s">
        <v>269</v>
      </c>
      <c r="C152" s="9">
        <v>150</v>
      </c>
      <c r="D152" s="10">
        <v>0.4316160180000001</v>
      </c>
      <c r="E152" s="10">
        <v>0.57015901330000218</v>
      </c>
    </row>
    <row r="153" spans="2:5" x14ac:dyDescent="0.35">
      <c r="B153" s="9" t="s">
        <v>270</v>
      </c>
      <c r="C153" s="9">
        <v>151</v>
      </c>
      <c r="D153" s="10">
        <v>0.43416496220000012</v>
      </c>
      <c r="E153" s="10">
        <v>0.57114122460000216</v>
      </c>
    </row>
    <row r="154" spans="2:5" x14ac:dyDescent="0.35">
      <c r="B154" s="9" t="s">
        <v>271</v>
      </c>
      <c r="C154" s="9">
        <v>152</v>
      </c>
      <c r="D154" s="10">
        <v>0.43690619640000011</v>
      </c>
      <c r="E154" s="10">
        <v>0.57209542250000212</v>
      </c>
    </row>
    <row r="155" spans="2:5" x14ac:dyDescent="0.35">
      <c r="B155" s="9" t="s">
        <v>272</v>
      </c>
      <c r="C155" s="9">
        <v>153</v>
      </c>
      <c r="D155" s="10">
        <v>0.43963486630000009</v>
      </c>
      <c r="E155" s="10">
        <v>0.57302860100000208</v>
      </c>
    </row>
    <row r="156" spans="2:5" x14ac:dyDescent="0.35">
      <c r="B156" s="9" t="s">
        <v>273</v>
      </c>
      <c r="C156" s="9">
        <v>154</v>
      </c>
      <c r="D156" s="10">
        <v>0.44241875200000008</v>
      </c>
      <c r="E156" s="10">
        <v>0.57394087240000213</v>
      </c>
    </row>
    <row r="157" spans="2:5" x14ac:dyDescent="0.35">
      <c r="B157" s="9" t="s">
        <v>274</v>
      </c>
      <c r="C157" s="9">
        <v>155</v>
      </c>
      <c r="D157" s="10">
        <v>0.44519189510000007</v>
      </c>
      <c r="E157" s="10">
        <v>0.57484972540000212</v>
      </c>
    </row>
    <row r="158" spans="2:5" x14ac:dyDescent="0.35">
      <c r="B158" s="9" t="s">
        <v>275</v>
      </c>
      <c r="C158" s="9">
        <v>156</v>
      </c>
      <c r="D158" s="10">
        <v>0.44758145510000008</v>
      </c>
      <c r="E158" s="10">
        <v>0.57564526630000212</v>
      </c>
    </row>
    <row r="159" spans="2:5" x14ac:dyDescent="0.35">
      <c r="B159" s="9" t="s">
        <v>276</v>
      </c>
      <c r="C159" s="9">
        <v>157</v>
      </c>
      <c r="D159" s="10">
        <v>0.44949129620000006</v>
      </c>
      <c r="E159" s="10">
        <v>0.57635276010000214</v>
      </c>
    </row>
    <row r="160" spans="2:5" x14ac:dyDescent="0.35">
      <c r="B160" s="9" t="s">
        <v>277</v>
      </c>
      <c r="C160" s="9">
        <v>158</v>
      </c>
      <c r="D160" s="10">
        <v>0.45203251000000005</v>
      </c>
      <c r="E160" s="10">
        <v>0.57718812230000216</v>
      </c>
    </row>
    <row r="161" spans="2:5" x14ac:dyDescent="0.35">
      <c r="B161" s="9" t="s">
        <v>278</v>
      </c>
      <c r="C161" s="9">
        <v>159</v>
      </c>
      <c r="D161" s="10">
        <v>0.45476641460000006</v>
      </c>
      <c r="E161" s="10">
        <v>0.57799836950000216</v>
      </c>
    </row>
    <row r="162" spans="2:5" x14ac:dyDescent="0.35">
      <c r="B162" s="9" t="s">
        <v>279</v>
      </c>
      <c r="C162" s="9">
        <v>160</v>
      </c>
      <c r="D162" s="10">
        <v>0.45748795950000004</v>
      </c>
      <c r="E162" s="10">
        <v>0.57878859950000217</v>
      </c>
    </row>
    <row r="163" spans="2:5" x14ac:dyDescent="0.35">
      <c r="B163" s="9" t="s">
        <v>280</v>
      </c>
      <c r="C163" s="9">
        <v>161</v>
      </c>
      <c r="D163" s="10">
        <v>0.46026494770000004</v>
      </c>
      <c r="E163" s="10">
        <v>0.57955932410000222</v>
      </c>
    </row>
    <row r="164" spans="2:5" x14ac:dyDescent="0.35">
      <c r="B164" s="9" t="s">
        <v>281</v>
      </c>
      <c r="C164" s="9">
        <v>162</v>
      </c>
      <c r="D164" s="10">
        <v>0.46303152300000006</v>
      </c>
      <c r="E164" s="10">
        <v>0.5803256119000022</v>
      </c>
    </row>
    <row r="165" spans="2:5" x14ac:dyDescent="0.35">
      <c r="B165" s="9" t="s">
        <v>282</v>
      </c>
      <c r="C165" s="9">
        <v>163</v>
      </c>
      <c r="D165" s="10">
        <v>0.46542042260000005</v>
      </c>
      <c r="E165" s="10">
        <v>0.58100137040000221</v>
      </c>
    </row>
    <row r="166" spans="2:5" x14ac:dyDescent="0.35">
      <c r="B166" s="9" t="s">
        <v>283</v>
      </c>
      <c r="C166" s="9">
        <v>164</v>
      </c>
      <c r="D166" s="10">
        <v>0.46732937500000005</v>
      </c>
      <c r="E166" s="10">
        <v>0.58161355590000219</v>
      </c>
    </row>
    <row r="167" spans="2:5" x14ac:dyDescent="0.35">
      <c r="B167" s="9" t="s">
        <v>284</v>
      </c>
      <c r="C167" s="9">
        <v>165</v>
      </c>
      <c r="D167" s="10">
        <v>0.46986414510000002</v>
      </c>
      <c r="E167" s="10">
        <v>0.58234570870000224</v>
      </c>
    </row>
    <row r="168" spans="2:5" x14ac:dyDescent="0.35">
      <c r="B168" s="9" t="s">
        <v>285</v>
      </c>
      <c r="C168" s="9">
        <v>166</v>
      </c>
      <c r="D168" s="10">
        <v>0.47259205780000002</v>
      </c>
      <c r="E168" s="10">
        <v>0.58307156680000227</v>
      </c>
    </row>
    <row r="169" spans="2:5" x14ac:dyDescent="0.35">
      <c r="B169" s="9" t="s">
        <v>286</v>
      </c>
      <c r="C169" s="9">
        <v>167</v>
      </c>
      <c r="D169" s="10">
        <v>0.47530828690000004</v>
      </c>
      <c r="E169" s="10">
        <v>0.5837959945000023</v>
      </c>
    </row>
    <row r="170" spans="2:5" x14ac:dyDescent="0.35">
      <c r="B170" s="9" t="s">
        <v>287</v>
      </c>
      <c r="C170" s="9">
        <v>168</v>
      </c>
      <c r="D170" s="10">
        <v>0.47808047300000006</v>
      </c>
      <c r="E170" s="10">
        <v>0.58451837830000231</v>
      </c>
    </row>
    <row r="171" spans="2:5" x14ac:dyDescent="0.35">
      <c r="B171" s="9" t="s">
        <v>288</v>
      </c>
      <c r="C171" s="9">
        <v>169</v>
      </c>
      <c r="D171" s="10">
        <v>0.48084273030000008</v>
      </c>
      <c r="E171" s="10">
        <v>0.58525111340000235</v>
      </c>
    </row>
    <row r="172" spans="2:5" x14ac:dyDescent="0.35">
      <c r="B172" s="9" t="s">
        <v>289</v>
      </c>
      <c r="C172" s="9">
        <v>170</v>
      </c>
      <c r="D172" s="10">
        <v>0.48323332580000006</v>
      </c>
      <c r="E172" s="10">
        <v>0.58591720660000235</v>
      </c>
    </row>
    <row r="173" spans="2:5" x14ac:dyDescent="0.35">
      <c r="B173" s="9" t="s">
        <v>290</v>
      </c>
      <c r="C173" s="9">
        <v>171</v>
      </c>
      <c r="D173" s="10">
        <v>0.48514461330000008</v>
      </c>
      <c r="E173" s="10">
        <v>0.58653389060000238</v>
      </c>
    </row>
    <row r="174" spans="2:5" x14ac:dyDescent="0.35">
      <c r="B174" s="9" t="s">
        <v>291</v>
      </c>
      <c r="C174" s="9">
        <v>172</v>
      </c>
      <c r="D174" s="10">
        <v>0.48767715260000011</v>
      </c>
      <c r="E174" s="10">
        <v>0.58725272590000244</v>
      </c>
    </row>
    <row r="175" spans="2:5" x14ac:dyDescent="0.35">
      <c r="B175" s="9" t="s">
        <v>292</v>
      </c>
      <c r="C175" s="9">
        <v>173</v>
      </c>
      <c r="D175" s="10">
        <v>0.49040297710000008</v>
      </c>
      <c r="E175" s="10">
        <v>0.58796638390000244</v>
      </c>
    </row>
    <row r="176" spans="2:5" x14ac:dyDescent="0.35">
      <c r="B176" s="9" t="s">
        <v>293</v>
      </c>
      <c r="C176" s="9">
        <v>174</v>
      </c>
      <c r="D176" s="10">
        <v>0.49311699510000007</v>
      </c>
      <c r="E176" s="10">
        <v>0.58867824900000243</v>
      </c>
    </row>
    <row r="177" spans="2:5" x14ac:dyDescent="0.35">
      <c r="B177" s="9" t="s">
        <v>294</v>
      </c>
      <c r="C177" s="9">
        <v>175</v>
      </c>
      <c r="D177" s="10">
        <v>0.49588710390000007</v>
      </c>
      <c r="E177" s="10">
        <v>0.58938842890000243</v>
      </c>
    </row>
    <row r="178" spans="2:5" x14ac:dyDescent="0.35">
      <c r="B178" s="9" t="s">
        <v>295</v>
      </c>
      <c r="C178" s="9">
        <v>176</v>
      </c>
      <c r="D178" s="10">
        <v>0.49864729750000009</v>
      </c>
      <c r="E178" s="10">
        <v>0.59010775510000246</v>
      </c>
    </row>
    <row r="179" spans="2:5" x14ac:dyDescent="0.35">
      <c r="B179" s="9" t="s">
        <v>296</v>
      </c>
      <c r="C179" s="9">
        <v>177</v>
      </c>
      <c r="D179" s="10">
        <v>0.50103930240000005</v>
      </c>
      <c r="E179" s="10">
        <v>0.59076898030000247</v>
      </c>
    </row>
    <row r="180" spans="2:5" x14ac:dyDescent="0.35">
      <c r="B180" s="9" t="s">
        <v>297</v>
      </c>
      <c r="C180" s="9">
        <v>178</v>
      </c>
      <c r="D180" s="10">
        <v>0.50295161310000003</v>
      </c>
      <c r="E180" s="10">
        <v>0.59138620850000245</v>
      </c>
    </row>
    <row r="181" spans="2:5" x14ac:dyDescent="0.35">
      <c r="B181" s="9" t="s">
        <v>298</v>
      </c>
      <c r="C181" s="9">
        <v>179</v>
      </c>
      <c r="D181" s="10">
        <v>0.50548228550000007</v>
      </c>
      <c r="E181" s="10">
        <v>0.59209358230000242</v>
      </c>
    </row>
    <row r="182" spans="2:5" x14ac:dyDescent="0.35">
      <c r="B182" s="9" t="s">
        <v>299</v>
      </c>
      <c r="C182" s="9">
        <v>180</v>
      </c>
      <c r="D182" s="10">
        <v>0.50820627650000005</v>
      </c>
      <c r="E182" s="10">
        <v>0.59279636350000242</v>
      </c>
    </row>
    <row r="183" spans="2:5" x14ac:dyDescent="0.35">
      <c r="B183" s="9" t="s">
        <v>300</v>
      </c>
      <c r="C183" s="9">
        <v>181</v>
      </c>
      <c r="D183" s="10">
        <v>0.51091874380000002</v>
      </c>
      <c r="E183" s="10">
        <v>0.59349778070000248</v>
      </c>
    </row>
    <row r="184" spans="2:5" x14ac:dyDescent="0.35">
      <c r="B184" s="9" t="s">
        <v>301</v>
      </c>
      <c r="C184" s="9">
        <v>182</v>
      </c>
      <c r="D184" s="10">
        <v>0.51368733860000004</v>
      </c>
      <c r="E184" s="10">
        <v>0.59419781250000248</v>
      </c>
    </row>
    <row r="185" spans="2:5" x14ac:dyDescent="0.35">
      <c r="B185" s="9" t="s">
        <v>302</v>
      </c>
      <c r="C185" s="9">
        <v>183</v>
      </c>
      <c r="D185" s="10">
        <v>0.51644605939999999</v>
      </c>
      <c r="E185" s="10">
        <v>0.59490581510000251</v>
      </c>
    </row>
    <row r="186" spans="2:5" x14ac:dyDescent="0.35">
      <c r="B186" s="9" t="s">
        <v>303</v>
      </c>
      <c r="C186" s="9">
        <v>184</v>
      </c>
      <c r="D186" s="10">
        <v>0.51883859659999998</v>
      </c>
      <c r="E186" s="10">
        <v>0.59556123250000248</v>
      </c>
    </row>
    <row r="187" spans="2:5" x14ac:dyDescent="0.35">
      <c r="B187" s="9" t="s">
        <v>304</v>
      </c>
      <c r="C187" s="9">
        <v>185</v>
      </c>
      <c r="D187" s="10">
        <v>0.52075148370000002</v>
      </c>
      <c r="E187" s="10">
        <v>0.59617587460000243</v>
      </c>
    </row>
    <row r="188" spans="2:5" x14ac:dyDescent="0.35">
      <c r="B188" s="9" t="s">
        <v>305</v>
      </c>
      <c r="C188" s="9">
        <v>186</v>
      </c>
      <c r="D188" s="10">
        <v>0.52328102789999997</v>
      </c>
      <c r="E188" s="10">
        <v>0.59687341300000241</v>
      </c>
    </row>
    <row r="189" spans="2:5" x14ac:dyDescent="0.35">
      <c r="B189" s="9" t="s">
        <v>306</v>
      </c>
      <c r="C189" s="9">
        <v>187</v>
      </c>
      <c r="D189" s="10">
        <v>0.52600393459999994</v>
      </c>
      <c r="E189" s="10">
        <v>0.59756689160000243</v>
      </c>
    </row>
    <row r="190" spans="2:5" x14ac:dyDescent="0.35">
      <c r="B190" s="9" t="s">
        <v>307</v>
      </c>
      <c r="C190" s="9">
        <v>188</v>
      </c>
      <c r="D190" s="10">
        <v>0.52871535889999999</v>
      </c>
      <c r="E190" s="10">
        <v>0.59825929520000243</v>
      </c>
    </row>
    <row r="191" spans="2:5" x14ac:dyDescent="0.35">
      <c r="B191" s="9" t="s">
        <v>308</v>
      </c>
      <c r="C191" s="9">
        <v>189</v>
      </c>
      <c r="D191" s="10">
        <v>0.53148296439999998</v>
      </c>
      <c r="E191" s="10">
        <v>0.59895043940000248</v>
      </c>
    </row>
    <row r="192" spans="2:5" x14ac:dyDescent="0.35">
      <c r="B192" s="9" t="s">
        <v>309</v>
      </c>
      <c r="C192" s="9">
        <v>190</v>
      </c>
      <c r="D192" s="10">
        <v>0.53424085089999995</v>
      </c>
      <c r="E192" s="10">
        <v>0.59964984280000244</v>
      </c>
    </row>
    <row r="193" spans="2:5" x14ac:dyDescent="0.35">
      <c r="B193" s="9" t="s">
        <v>310</v>
      </c>
      <c r="C193" s="9">
        <v>191</v>
      </c>
      <c r="D193" s="10">
        <v>0.53663340649999991</v>
      </c>
      <c r="E193" s="10">
        <v>0.6002988864000024</v>
      </c>
    </row>
    <row r="194" spans="2:5" x14ac:dyDescent="0.35">
      <c r="B194" s="9" t="s">
        <v>311</v>
      </c>
      <c r="C194" s="9">
        <v>192</v>
      </c>
      <c r="D194" s="10">
        <v>0.53854297579999988</v>
      </c>
      <c r="E194" s="10">
        <v>0.60090836630000244</v>
      </c>
    </row>
    <row r="195" spans="2:5" x14ac:dyDescent="0.35">
      <c r="B195" s="9" t="s">
        <v>312</v>
      </c>
      <c r="C195" s="9">
        <v>193</v>
      </c>
      <c r="D195" s="10">
        <v>0.54085905639999987</v>
      </c>
      <c r="E195" s="10">
        <v>0.6015990613000024</v>
      </c>
    </row>
    <row r="196" spans="2:5" x14ac:dyDescent="0.35">
      <c r="B196" s="9" t="s">
        <v>313</v>
      </c>
      <c r="C196" s="9">
        <v>194</v>
      </c>
      <c r="D196" s="10">
        <v>0.5433686580999999</v>
      </c>
      <c r="E196" s="10">
        <v>0.60228605610000241</v>
      </c>
    </row>
    <row r="197" spans="2:5" x14ac:dyDescent="0.35">
      <c r="B197" s="9" t="s">
        <v>314</v>
      </c>
      <c r="C197" s="9">
        <v>195</v>
      </c>
      <c r="D197" s="10">
        <v>0.54586684179999989</v>
      </c>
      <c r="E197" s="10">
        <v>0.60297239820000237</v>
      </c>
    </row>
    <row r="198" spans="2:5" x14ac:dyDescent="0.35">
      <c r="B198" s="9" t="s">
        <v>315</v>
      </c>
      <c r="C198" s="9">
        <v>196</v>
      </c>
      <c r="D198" s="10">
        <v>0.54842138639999993</v>
      </c>
      <c r="E198" s="10">
        <v>0.60365815140000234</v>
      </c>
    </row>
    <row r="199" spans="2:5" x14ac:dyDescent="0.35">
      <c r="B199" s="9" t="s">
        <v>316</v>
      </c>
      <c r="C199" s="9">
        <v>197</v>
      </c>
      <c r="D199" s="10">
        <v>0.55096627789999997</v>
      </c>
      <c r="E199" s="10">
        <v>0.60435245480000233</v>
      </c>
    </row>
    <row r="200" spans="2:5" x14ac:dyDescent="0.35">
      <c r="B200" s="9" t="s">
        <v>317</v>
      </c>
      <c r="C200" s="9">
        <v>198</v>
      </c>
      <c r="D200" s="10">
        <v>0.55314590529999996</v>
      </c>
      <c r="E200" s="10">
        <v>0.6049967942000023</v>
      </c>
    </row>
    <row r="201" spans="2:5" x14ac:dyDescent="0.35">
      <c r="B201" s="9" t="s">
        <v>318</v>
      </c>
      <c r="C201" s="9">
        <v>199</v>
      </c>
      <c r="D201" s="10">
        <v>0.55484585359999994</v>
      </c>
      <c r="E201" s="10">
        <v>0.60560196400000232</v>
      </c>
    </row>
    <row r="202" spans="2:5" x14ac:dyDescent="0.35">
      <c r="B202" s="9" t="s">
        <v>319</v>
      </c>
      <c r="C202" s="9">
        <v>200</v>
      </c>
      <c r="D202" s="10">
        <v>0.55716205909999994</v>
      </c>
      <c r="E202" s="10">
        <v>0.60628874090000229</v>
      </c>
    </row>
    <row r="203" spans="2:5" x14ac:dyDescent="0.35">
      <c r="B203" s="9" t="s">
        <v>320</v>
      </c>
      <c r="C203" s="9">
        <v>201</v>
      </c>
      <c r="D203" s="10">
        <v>0.55967586859999996</v>
      </c>
      <c r="E203" s="10">
        <v>0.60697247640000229</v>
      </c>
    </row>
    <row r="204" spans="2:5" x14ac:dyDescent="0.35">
      <c r="B204" s="9" t="s">
        <v>321</v>
      </c>
      <c r="C204" s="9">
        <v>202</v>
      </c>
      <c r="D204" s="10">
        <v>0.56136387459999992</v>
      </c>
      <c r="E204" s="10">
        <v>0.60765577400000226</v>
      </c>
    </row>
    <row r="205" spans="2:5" x14ac:dyDescent="0.35">
      <c r="B205" s="9" t="s">
        <v>322</v>
      </c>
      <c r="C205" s="9">
        <v>203</v>
      </c>
      <c r="D205" s="10">
        <v>0.56385787809999988</v>
      </c>
      <c r="E205" s="10">
        <v>0.60833879270000224</v>
      </c>
    </row>
    <row r="206" spans="2:5" x14ac:dyDescent="0.35">
      <c r="B206" s="9" t="s">
        <v>323</v>
      </c>
      <c r="C206" s="9">
        <v>204</v>
      </c>
      <c r="D206" s="10">
        <v>0.56640325039999984</v>
      </c>
      <c r="E206" s="10">
        <v>0.6090311810000022</v>
      </c>
    </row>
    <row r="207" spans="2:5" x14ac:dyDescent="0.35">
      <c r="B207" s="9" t="s">
        <v>324</v>
      </c>
      <c r="C207" s="9">
        <v>205</v>
      </c>
      <c r="D207" s="10">
        <v>0.56858271459999987</v>
      </c>
      <c r="E207" s="10">
        <v>0.60967232550000217</v>
      </c>
    </row>
    <row r="208" spans="2:5" x14ac:dyDescent="0.35">
      <c r="B208" s="9" t="s">
        <v>325</v>
      </c>
      <c r="C208" s="9">
        <v>206</v>
      </c>
      <c r="D208" s="10">
        <v>0.57028255569999986</v>
      </c>
      <c r="E208" s="10">
        <v>0.61027288570000215</v>
      </c>
    </row>
    <row r="209" spans="2:5" x14ac:dyDescent="0.35">
      <c r="B209" s="9" t="s">
        <v>326</v>
      </c>
      <c r="C209" s="9">
        <v>207</v>
      </c>
      <c r="D209" s="10">
        <v>0.57259951959999988</v>
      </c>
      <c r="E209" s="10">
        <v>0.61095887120000214</v>
      </c>
    </row>
    <row r="210" spans="2:5" x14ac:dyDescent="0.35">
      <c r="B210" s="9" t="s">
        <v>327</v>
      </c>
      <c r="C210" s="9">
        <v>208</v>
      </c>
      <c r="D210" s="10">
        <v>0.57511024269999989</v>
      </c>
      <c r="E210" s="10">
        <v>0.61164189470000219</v>
      </c>
    </row>
    <row r="211" spans="2:5" x14ac:dyDescent="0.35">
      <c r="B211" s="9" t="s">
        <v>328</v>
      </c>
      <c r="C211" s="9">
        <v>209</v>
      </c>
      <c r="D211" s="10">
        <v>0.57760967829999987</v>
      </c>
      <c r="E211" s="10">
        <v>0.61232505860000219</v>
      </c>
    </row>
    <row r="212" spans="2:5" x14ac:dyDescent="0.35">
      <c r="B212" s="9" t="s">
        <v>329</v>
      </c>
      <c r="C212" s="9">
        <v>210</v>
      </c>
      <c r="D212" s="10">
        <v>0.58016571949999984</v>
      </c>
      <c r="E212" s="10">
        <v>0.61300840580000215</v>
      </c>
    </row>
    <row r="213" spans="2:5" x14ac:dyDescent="0.35">
      <c r="B213" s="9" t="s">
        <v>330</v>
      </c>
      <c r="C213" s="9">
        <v>211</v>
      </c>
      <c r="D213" s="10">
        <v>0.58271222449999982</v>
      </c>
      <c r="E213" s="10">
        <v>0.61370241770000211</v>
      </c>
    </row>
    <row r="214" spans="2:5" x14ac:dyDescent="0.35">
      <c r="B214" s="9" t="s">
        <v>331</v>
      </c>
      <c r="C214" s="9">
        <v>212</v>
      </c>
      <c r="D214" s="10">
        <v>0.58489108199999984</v>
      </c>
      <c r="E214" s="10">
        <v>0.61434081910000216</v>
      </c>
    </row>
    <row r="215" spans="2:5" x14ac:dyDescent="0.35">
      <c r="B215" s="9" t="s">
        <v>332</v>
      </c>
      <c r="C215" s="9">
        <v>213</v>
      </c>
      <c r="D215" s="10">
        <v>0.58658985259999985</v>
      </c>
      <c r="E215" s="10">
        <v>0.61493397130000216</v>
      </c>
    </row>
    <row r="216" spans="2:5" x14ac:dyDescent="0.35">
      <c r="B216" s="9" t="s">
        <v>333</v>
      </c>
      <c r="C216" s="9">
        <v>214</v>
      </c>
      <c r="D216" s="10">
        <v>0.58890833379999985</v>
      </c>
      <c r="E216" s="10">
        <v>0.61562218120000212</v>
      </c>
    </row>
    <row r="217" spans="2:5" x14ac:dyDescent="0.35">
      <c r="B217" s="9" t="s">
        <v>334</v>
      </c>
      <c r="C217" s="9">
        <v>215</v>
      </c>
      <c r="D217" s="10">
        <v>0.5914206542999999</v>
      </c>
      <c r="E217" s="10">
        <v>0.61630763840000213</v>
      </c>
    </row>
    <row r="218" spans="2:5" x14ac:dyDescent="0.35">
      <c r="B218" s="9" t="s">
        <v>335</v>
      </c>
      <c r="C218" s="9">
        <v>216</v>
      </c>
      <c r="D218" s="10">
        <v>0.59392176269999986</v>
      </c>
      <c r="E218" s="10">
        <v>0.61699367490000212</v>
      </c>
    </row>
    <row r="219" spans="2:5" x14ac:dyDescent="0.35">
      <c r="B219" s="9" t="s">
        <v>336</v>
      </c>
      <c r="C219" s="9">
        <v>217</v>
      </c>
      <c r="D219" s="10">
        <v>0.59647952449999986</v>
      </c>
      <c r="E219" s="10">
        <v>0.61768006610000215</v>
      </c>
    </row>
    <row r="220" spans="2:5" x14ac:dyDescent="0.35">
      <c r="B220" s="9" t="s">
        <v>337</v>
      </c>
      <c r="C220" s="9">
        <v>218</v>
      </c>
      <c r="D220" s="10">
        <v>0.59902798179999983</v>
      </c>
      <c r="E220" s="10">
        <v>0.61837872760000212</v>
      </c>
    </row>
    <row r="221" spans="2:5" x14ac:dyDescent="0.35">
      <c r="B221" s="9" t="s">
        <v>338</v>
      </c>
      <c r="C221" s="9">
        <v>219</v>
      </c>
      <c r="D221" s="10">
        <v>0.60120525429999983</v>
      </c>
      <c r="E221" s="10">
        <v>0.61901461250000211</v>
      </c>
    </row>
    <row r="222" spans="2:5" x14ac:dyDescent="0.35">
      <c r="B222" s="9" t="s">
        <v>339</v>
      </c>
      <c r="C222" s="9">
        <v>220</v>
      </c>
      <c r="D222" s="10">
        <v>0.6029026342999998</v>
      </c>
      <c r="E222" s="10">
        <v>0.61959858540000212</v>
      </c>
    </row>
    <row r="223" spans="2:5" x14ac:dyDescent="0.35">
      <c r="B223" s="9" t="s">
        <v>340</v>
      </c>
      <c r="C223" s="9">
        <v>221</v>
      </c>
      <c r="D223" s="10">
        <v>0.60522319309999983</v>
      </c>
      <c r="E223" s="10">
        <v>0.62029226930000214</v>
      </c>
    </row>
    <row r="224" spans="2:5" x14ac:dyDescent="0.35">
      <c r="B224" s="9" t="s">
        <v>341</v>
      </c>
      <c r="C224" s="9">
        <v>222</v>
      </c>
      <c r="D224" s="10">
        <v>0.60773766459999978</v>
      </c>
      <c r="E224" s="10">
        <v>0.62098320130000217</v>
      </c>
    </row>
    <row r="225" spans="2:5" x14ac:dyDescent="0.35">
      <c r="B225" s="9" t="s">
        <v>342</v>
      </c>
      <c r="C225" s="9">
        <v>223</v>
      </c>
      <c r="D225" s="10">
        <v>0.61024108279999978</v>
      </c>
      <c r="E225" s="10">
        <v>0.62167496080000217</v>
      </c>
    </row>
    <row r="226" spans="2:5" x14ac:dyDescent="0.35">
      <c r="B226" s="9" t="s">
        <v>343</v>
      </c>
      <c r="C226" s="9">
        <v>224</v>
      </c>
      <c r="D226" s="10">
        <v>0.61280122979999974</v>
      </c>
      <c r="E226" s="10">
        <v>0.62236795530000222</v>
      </c>
    </row>
    <row r="227" spans="2:5" x14ac:dyDescent="0.35">
      <c r="B227" s="9" t="s">
        <v>344</v>
      </c>
      <c r="C227" s="9">
        <v>225</v>
      </c>
      <c r="D227" s="10">
        <v>0.61535195409999977</v>
      </c>
      <c r="E227" s="10">
        <v>0.62307575480000221</v>
      </c>
    </row>
    <row r="228" spans="2:5" x14ac:dyDescent="0.35">
      <c r="B228" s="9" t="s">
        <v>345</v>
      </c>
      <c r="C228" s="9">
        <v>226</v>
      </c>
      <c r="D228" s="10">
        <v>0.61752691079999977</v>
      </c>
      <c r="E228" s="10">
        <v>0.62370911370000226</v>
      </c>
    </row>
    <row r="229" spans="2:5" x14ac:dyDescent="0.35">
      <c r="B229" s="9" t="s">
        <v>346</v>
      </c>
      <c r="C229" s="9">
        <v>227</v>
      </c>
      <c r="D229" s="10">
        <v>0.61922170019999978</v>
      </c>
      <c r="E229" s="10">
        <v>0.62428078450000224</v>
      </c>
    </row>
    <row r="230" spans="2:5" x14ac:dyDescent="0.35">
      <c r="B230" s="9" t="s">
        <v>347</v>
      </c>
      <c r="C230" s="9">
        <v>228</v>
      </c>
      <c r="D230" s="10">
        <v>0.6215447437999998</v>
      </c>
      <c r="E230" s="10">
        <v>0.62498287230000227</v>
      </c>
    </row>
    <row r="231" spans="2:5" x14ac:dyDescent="0.35">
      <c r="B231" s="9" t="s">
        <v>348</v>
      </c>
      <c r="C231" s="9">
        <v>229</v>
      </c>
      <c r="D231" s="10">
        <v>0.62406169319999982</v>
      </c>
      <c r="E231" s="10">
        <v>0.62568147790000228</v>
      </c>
    </row>
    <row r="232" spans="2:5" x14ac:dyDescent="0.35">
      <c r="B232" s="9" t="s">
        <v>349</v>
      </c>
      <c r="C232" s="9">
        <v>230</v>
      </c>
      <c r="D232" s="10">
        <v>0.62656761519999982</v>
      </c>
      <c r="E232" s="10">
        <v>0.62638153110000228</v>
      </c>
    </row>
    <row r="233" spans="2:5" x14ac:dyDescent="0.35">
      <c r="B233" s="9" t="s">
        <v>350</v>
      </c>
      <c r="C233" s="9">
        <v>231</v>
      </c>
      <c r="D233" s="10">
        <v>0.62913024819999985</v>
      </c>
      <c r="E233" s="10">
        <v>0.62708270130000232</v>
      </c>
    </row>
    <row r="234" spans="2:5" x14ac:dyDescent="0.35">
      <c r="B234" s="9" t="s">
        <v>351</v>
      </c>
      <c r="C234" s="9">
        <v>232</v>
      </c>
      <c r="D234" s="10">
        <v>0.63168687119999989</v>
      </c>
      <c r="E234" s="10">
        <v>0.62780176860000236</v>
      </c>
    </row>
    <row r="235" spans="2:5" x14ac:dyDescent="0.35">
      <c r="B235" s="9" t="s">
        <v>352</v>
      </c>
      <c r="C235" s="9">
        <v>233</v>
      </c>
      <c r="D235" s="10">
        <v>0.63407092259999986</v>
      </c>
      <c r="E235" s="10">
        <v>0.62843133170000232</v>
      </c>
    </row>
    <row r="236" spans="2:5" x14ac:dyDescent="0.35">
      <c r="B236" s="9" t="s">
        <v>353</v>
      </c>
      <c r="C236" s="9">
        <v>234</v>
      </c>
      <c r="D236" s="10">
        <v>0.63597458099999982</v>
      </c>
      <c r="E236" s="10">
        <v>0.62898630820000234</v>
      </c>
    </row>
    <row r="237" spans="2:5" x14ac:dyDescent="0.35">
      <c r="B237" s="9" t="s">
        <v>354</v>
      </c>
      <c r="C237" s="9">
        <v>235</v>
      </c>
      <c r="D237" s="10">
        <v>0.63851314779999979</v>
      </c>
      <c r="E237" s="10">
        <v>0.62969893410000233</v>
      </c>
    </row>
    <row r="238" spans="2:5" x14ac:dyDescent="0.35">
      <c r="B238" s="9" t="s">
        <v>355</v>
      </c>
      <c r="C238" s="9">
        <v>236</v>
      </c>
      <c r="D238" s="10">
        <v>0.64124564409999985</v>
      </c>
      <c r="E238" s="10">
        <v>0.63040743270000232</v>
      </c>
    </row>
    <row r="239" spans="2:5" x14ac:dyDescent="0.35">
      <c r="B239" s="9" t="s">
        <v>356</v>
      </c>
      <c r="C239" s="9">
        <v>237</v>
      </c>
      <c r="D239" s="10">
        <v>0.64396732999999984</v>
      </c>
      <c r="E239" s="10">
        <v>0.63111744260000235</v>
      </c>
    </row>
    <row r="240" spans="2:5" x14ac:dyDescent="0.35">
      <c r="B240" s="9" t="s">
        <v>357</v>
      </c>
      <c r="C240" s="9">
        <v>238</v>
      </c>
      <c r="D240" s="10">
        <v>0.64674579379999986</v>
      </c>
      <c r="E240" s="10">
        <v>0.6318292373000024</v>
      </c>
    </row>
    <row r="241" spans="2:5" x14ac:dyDescent="0.35">
      <c r="B241" s="9" t="s">
        <v>358</v>
      </c>
      <c r="C241" s="9">
        <v>239</v>
      </c>
      <c r="D241" s="10">
        <v>0.6495151147999999</v>
      </c>
      <c r="E241" s="10">
        <v>0.63256234100000241</v>
      </c>
    </row>
    <row r="242" spans="2:5" x14ac:dyDescent="0.35">
      <c r="B242" s="9" t="s">
        <v>359</v>
      </c>
      <c r="C242" s="9">
        <v>240</v>
      </c>
      <c r="D242" s="10">
        <v>0.65189443149999993</v>
      </c>
      <c r="E242" s="10">
        <v>0.63318693060000242</v>
      </c>
    </row>
    <row r="243" spans="2:5" x14ac:dyDescent="0.35">
      <c r="B243" s="9" t="s">
        <v>360</v>
      </c>
      <c r="C243" s="9">
        <v>241</v>
      </c>
      <c r="D243" s="10">
        <v>0.65379316819999989</v>
      </c>
      <c r="E243" s="10">
        <v>0.63372081940000247</v>
      </c>
    </row>
    <row r="244" spans="2:5" x14ac:dyDescent="0.35">
      <c r="B244" s="9" t="s">
        <v>361</v>
      </c>
      <c r="C244" s="9">
        <v>242</v>
      </c>
      <c r="D244" s="10">
        <v>0.65633508479999991</v>
      </c>
      <c r="E244" s="10">
        <v>0.6344456779000025</v>
      </c>
    </row>
    <row r="245" spans="2:5" x14ac:dyDescent="0.35">
      <c r="B245" s="9" t="s">
        <v>362</v>
      </c>
      <c r="C245" s="9">
        <v>243</v>
      </c>
      <c r="D245" s="10">
        <v>0.65907104849999987</v>
      </c>
      <c r="E245" s="10">
        <v>0.63516526870000245</v>
      </c>
    </row>
    <row r="246" spans="2:5" x14ac:dyDescent="0.35">
      <c r="B246" s="9" t="s">
        <v>363</v>
      </c>
      <c r="C246" s="9">
        <v>244</v>
      </c>
      <c r="D246" s="10">
        <v>0.66179630969999992</v>
      </c>
      <c r="E246" s="10">
        <v>0.63588658330000247</v>
      </c>
    </row>
    <row r="247" spans="2:5" x14ac:dyDescent="0.35">
      <c r="B247" s="9" t="s">
        <v>364</v>
      </c>
      <c r="C247" s="9">
        <v>245</v>
      </c>
      <c r="D247" s="10">
        <v>0.66457849269999991</v>
      </c>
      <c r="E247" s="10">
        <v>0.63660930350000244</v>
      </c>
    </row>
    <row r="248" spans="2:5" x14ac:dyDescent="0.35">
      <c r="B248" s="9" t="s">
        <v>365</v>
      </c>
      <c r="C248" s="9">
        <v>246</v>
      </c>
      <c r="D248" s="10">
        <v>0.66735165549999986</v>
      </c>
      <c r="E248" s="10">
        <v>0.63735745340000249</v>
      </c>
    </row>
    <row r="249" spans="2:5" x14ac:dyDescent="0.35">
      <c r="B249" s="9" t="s">
        <v>366</v>
      </c>
      <c r="C249" s="9">
        <v>247</v>
      </c>
      <c r="D249" s="10">
        <v>0.66972567149999984</v>
      </c>
      <c r="E249" s="10">
        <v>0.63797394810000252</v>
      </c>
    </row>
    <row r="250" spans="2:5" x14ac:dyDescent="0.35">
      <c r="B250" s="9" t="s">
        <v>367</v>
      </c>
      <c r="C250" s="9">
        <v>248</v>
      </c>
      <c r="D250" s="10">
        <v>0.67161899979999984</v>
      </c>
      <c r="E250" s="10">
        <v>0.63848093640000247</v>
      </c>
    </row>
    <row r="251" spans="2:5" x14ac:dyDescent="0.35">
      <c r="B251" s="9" t="s">
        <v>368</v>
      </c>
      <c r="C251" s="9">
        <v>249</v>
      </c>
      <c r="D251" s="10">
        <v>0.67416535139999989</v>
      </c>
      <c r="E251" s="10">
        <v>0.63921788150000247</v>
      </c>
    </row>
    <row r="252" spans="2:5" x14ac:dyDescent="0.35">
      <c r="B252" s="9" t="s">
        <v>369</v>
      </c>
      <c r="C252" s="9">
        <v>250</v>
      </c>
      <c r="D252" s="10">
        <v>0.67690557979999988</v>
      </c>
      <c r="E252" s="10">
        <v>0.63995407910000246</v>
      </c>
    </row>
    <row r="253" spans="2:5" x14ac:dyDescent="0.35">
      <c r="B253" s="9" t="s">
        <v>370</v>
      </c>
      <c r="C253" s="9">
        <v>251</v>
      </c>
      <c r="D253" s="10">
        <v>0.6796352980999999</v>
      </c>
      <c r="E253" s="10">
        <v>0.64070565940000246</v>
      </c>
    </row>
    <row r="254" spans="2:5" x14ac:dyDescent="0.35">
      <c r="B254" s="9" t="s">
        <v>371</v>
      </c>
      <c r="C254" s="9">
        <v>252</v>
      </c>
      <c r="D254" s="10">
        <v>0.68242288119999994</v>
      </c>
      <c r="E254" s="10">
        <v>0.64147715170000241</v>
      </c>
    </row>
    <row r="255" spans="2:5" x14ac:dyDescent="0.35">
      <c r="B255" s="9" t="s">
        <v>372</v>
      </c>
      <c r="C255" s="9">
        <v>253</v>
      </c>
      <c r="D255" s="10">
        <v>0.68520258079999996</v>
      </c>
      <c r="E255" s="10">
        <v>0.64229939960000237</v>
      </c>
    </row>
    <row r="256" spans="2:5" x14ac:dyDescent="0.35">
      <c r="B256" s="9" t="s">
        <v>373</v>
      </c>
      <c r="C256" s="9">
        <v>254</v>
      </c>
      <c r="D256" s="10">
        <v>0.68757375409999999</v>
      </c>
      <c r="E256" s="10">
        <v>0.6429846436000024</v>
      </c>
    </row>
    <row r="257" spans="2:5" x14ac:dyDescent="0.35">
      <c r="B257" s="9" t="s">
        <v>374</v>
      </c>
      <c r="C257" s="9">
        <v>255</v>
      </c>
      <c r="D257" s="10">
        <v>0.68946518339999996</v>
      </c>
      <c r="E257" s="10">
        <v>0.64356027110000236</v>
      </c>
    </row>
    <row r="258" spans="2:5" x14ac:dyDescent="0.35">
      <c r="B258" s="9" t="s">
        <v>375</v>
      </c>
      <c r="C258" s="9">
        <v>256</v>
      </c>
      <c r="D258" s="10">
        <v>0.69202202699999993</v>
      </c>
      <c r="E258" s="10">
        <v>0.6444329575000024</v>
      </c>
    </row>
    <row r="259" spans="2:5" x14ac:dyDescent="0.35">
      <c r="B259" s="9" t="s">
        <v>376</v>
      </c>
      <c r="C259" s="9">
        <v>257</v>
      </c>
      <c r="D259" s="10">
        <v>0.69477458189999997</v>
      </c>
      <c r="E259" s="10">
        <v>0.64532005740000242</v>
      </c>
    </row>
    <row r="260" spans="2:5" x14ac:dyDescent="0.35">
      <c r="B260" s="9" t="s">
        <v>377</v>
      </c>
      <c r="C260" s="9">
        <v>258</v>
      </c>
      <c r="D260" s="10">
        <v>0.69751809489999994</v>
      </c>
      <c r="E260" s="10">
        <v>0.64623144850000247</v>
      </c>
    </row>
    <row r="261" spans="2:5" x14ac:dyDescent="0.35">
      <c r="B261" s="9" t="s">
        <v>378</v>
      </c>
      <c r="C261" s="9">
        <v>259</v>
      </c>
      <c r="D261" s="10">
        <v>0.70032030149999991</v>
      </c>
      <c r="E261" s="10">
        <v>0.64716798790000252</v>
      </c>
    </row>
    <row r="262" spans="2:5" x14ac:dyDescent="0.35">
      <c r="B262" s="9" t="s">
        <v>379</v>
      </c>
      <c r="C262" s="9">
        <v>260</v>
      </c>
      <c r="D262" s="10">
        <v>0.70311524629999989</v>
      </c>
      <c r="E262" s="10">
        <v>0.64816393720000254</v>
      </c>
    </row>
    <row r="263" spans="2:5" x14ac:dyDescent="0.35">
      <c r="B263" s="9" t="s">
        <v>380</v>
      </c>
      <c r="C263" s="9">
        <v>261</v>
      </c>
      <c r="D263" s="10">
        <v>0.70548992149999989</v>
      </c>
      <c r="E263" s="10">
        <v>0.64899670450000257</v>
      </c>
    </row>
    <row r="264" spans="2:5" x14ac:dyDescent="0.35">
      <c r="B264" s="9" t="s">
        <v>381</v>
      </c>
      <c r="C264" s="9">
        <v>262</v>
      </c>
      <c r="D264" s="10">
        <v>0.70738571179999987</v>
      </c>
      <c r="E264" s="10">
        <v>0.64969950960000256</v>
      </c>
    </row>
    <row r="265" spans="2:5" x14ac:dyDescent="0.35">
      <c r="B265" s="9" t="s">
        <v>382</v>
      </c>
      <c r="C265" s="9">
        <v>263</v>
      </c>
      <c r="D265" s="10">
        <v>0.70995981659999985</v>
      </c>
      <c r="E265" s="10">
        <v>0.65075268990000257</v>
      </c>
    </row>
    <row r="266" spans="2:5" x14ac:dyDescent="0.35">
      <c r="B266" s="9" t="s">
        <v>383</v>
      </c>
      <c r="C266" s="9">
        <v>264</v>
      </c>
      <c r="D266" s="10">
        <v>0.71273022219999982</v>
      </c>
      <c r="E266" s="10">
        <v>0.65182245050000254</v>
      </c>
    </row>
    <row r="267" spans="2:5" x14ac:dyDescent="0.35">
      <c r="B267" s="9" t="s">
        <v>384</v>
      </c>
      <c r="C267" s="9">
        <v>265</v>
      </c>
      <c r="D267" s="10">
        <v>0.71549216069999977</v>
      </c>
      <c r="E267" s="10">
        <v>0.65292112220000253</v>
      </c>
    </row>
    <row r="268" spans="2:5" x14ac:dyDescent="0.35">
      <c r="B268" s="9" t="s">
        <v>385</v>
      </c>
      <c r="C268" s="9">
        <v>266</v>
      </c>
      <c r="D268" s="10">
        <v>0.71831369199999973</v>
      </c>
      <c r="E268" s="10">
        <v>0.65404969830000248</v>
      </c>
    </row>
    <row r="269" spans="2:5" x14ac:dyDescent="0.35">
      <c r="B269" s="9" t="s">
        <v>386</v>
      </c>
      <c r="C269" s="9">
        <v>267</v>
      </c>
      <c r="D269" s="10">
        <v>0.72112877819999976</v>
      </c>
      <c r="E269" s="10">
        <v>0.65524844710000252</v>
      </c>
    </row>
    <row r="270" spans="2:5" x14ac:dyDescent="0.35">
      <c r="B270" s="9" t="s">
        <v>387</v>
      </c>
      <c r="C270" s="9">
        <v>268</v>
      </c>
      <c r="D270" s="10">
        <v>0.72351105419999973</v>
      </c>
      <c r="E270" s="10">
        <v>0.65625621140000256</v>
      </c>
    </row>
    <row r="271" spans="2:5" x14ac:dyDescent="0.35">
      <c r="B271" s="9" t="s">
        <v>388</v>
      </c>
      <c r="C271" s="9">
        <v>269</v>
      </c>
      <c r="D271" s="10">
        <v>0.72541497549999978</v>
      </c>
      <c r="E271" s="10">
        <v>0.6571131139000026</v>
      </c>
    </row>
    <row r="272" spans="2:5" x14ac:dyDescent="0.35">
      <c r="B272" s="9" t="s">
        <v>389</v>
      </c>
      <c r="C272" s="9">
        <v>270</v>
      </c>
      <c r="D272" s="10">
        <v>0.72801147929999976</v>
      </c>
      <c r="E272" s="10">
        <v>0.65838080380000263</v>
      </c>
    </row>
    <row r="273" spans="2:5" x14ac:dyDescent="0.35">
      <c r="B273" s="9" t="s">
        <v>390</v>
      </c>
      <c r="C273" s="9">
        <v>271</v>
      </c>
      <c r="D273" s="10">
        <v>0.7308051701999998</v>
      </c>
      <c r="E273" s="10">
        <v>0.65966971590000267</v>
      </c>
    </row>
    <row r="274" spans="2:5" x14ac:dyDescent="0.35">
      <c r="B274" s="9" t="s">
        <v>391</v>
      </c>
      <c r="C274" s="9">
        <v>272</v>
      </c>
      <c r="D274" s="10">
        <v>0.73359118449999983</v>
      </c>
      <c r="E274" s="10">
        <v>0.66099350800000267</v>
      </c>
    </row>
    <row r="275" spans="2:5" x14ac:dyDescent="0.35">
      <c r="B275" s="9" t="s">
        <v>392</v>
      </c>
      <c r="C275" s="9">
        <v>273</v>
      </c>
      <c r="D275" s="10">
        <v>0.73643743959999985</v>
      </c>
      <c r="E275" s="10">
        <v>0.66235334540000268</v>
      </c>
    </row>
    <row r="276" spans="2:5" x14ac:dyDescent="0.35">
      <c r="B276" s="9" t="s">
        <v>393</v>
      </c>
      <c r="C276" s="9">
        <v>274</v>
      </c>
      <c r="D276" s="10">
        <v>0.7392784912999999</v>
      </c>
      <c r="E276" s="10">
        <v>0.66379683070000273</v>
      </c>
    </row>
    <row r="277" spans="2:5" x14ac:dyDescent="0.35">
      <c r="B277" s="9" t="s">
        <v>394</v>
      </c>
      <c r="C277" s="9">
        <v>275</v>
      </c>
      <c r="D277" s="10">
        <v>0.74167344719999995</v>
      </c>
      <c r="E277" s="10">
        <v>0.66502271940000268</v>
      </c>
    </row>
    <row r="278" spans="2:5" x14ac:dyDescent="0.35">
      <c r="B278" s="9" t="s">
        <v>395</v>
      </c>
      <c r="C278" s="9">
        <v>276</v>
      </c>
      <c r="D278" s="10">
        <v>0.74359079009999995</v>
      </c>
      <c r="E278" s="10">
        <v>0.66607820990000266</v>
      </c>
    </row>
    <row r="279" spans="2:5" x14ac:dyDescent="0.35">
      <c r="B279" s="9" t="s">
        <v>396</v>
      </c>
      <c r="C279" s="9">
        <v>277</v>
      </c>
      <c r="D279" s="10">
        <v>0.7462161290999999</v>
      </c>
      <c r="E279" s="10">
        <v>0.66761119410000269</v>
      </c>
    </row>
    <row r="280" spans="2:5" x14ac:dyDescent="0.35">
      <c r="B280" s="9" t="s">
        <v>397</v>
      </c>
      <c r="C280" s="9">
        <v>278</v>
      </c>
      <c r="D280" s="10">
        <v>0.74903996189999988</v>
      </c>
      <c r="E280" s="10">
        <v>0.66917205740000274</v>
      </c>
    </row>
    <row r="281" spans="2:5" x14ac:dyDescent="0.35">
      <c r="B281" s="9" t="s">
        <v>398</v>
      </c>
      <c r="C281" s="9">
        <v>279</v>
      </c>
      <c r="D281" s="10">
        <v>0.75185738859999984</v>
      </c>
      <c r="E281" s="10">
        <v>0.67077883760000279</v>
      </c>
    </row>
    <row r="282" spans="2:5" x14ac:dyDescent="0.35">
      <c r="B282" s="9" t="s">
        <v>399</v>
      </c>
      <c r="C282" s="9">
        <v>280</v>
      </c>
      <c r="D282" s="10">
        <v>0.75473630759999988</v>
      </c>
      <c r="E282" s="10">
        <v>0.67243237640000275</v>
      </c>
    </row>
    <row r="283" spans="2:5" x14ac:dyDescent="0.35">
      <c r="B283" s="9" t="s">
        <v>400</v>
      </c>
      <c r="C283" s="9">
        <v>281</v>
      </c>
      <c r="D283" s="10">
        <v>0.75761092099999983</v>
      </c>
      <c r="E283" s="10">
        <v>0.67418672030000271</v>
      </c>
    </row>
    <row r="284" spans="2:5" x14ac:dyDescent="0.35">
      <c r="B284" s="9" t="s">
        <v>401</v>
      </c>
      <c r="C284" s="9">
        <v>282</v>
      </c>
      <c r="D284" s="10">
        <v>0.76002576849999981</v>
      </c>
      <c r="E284" s="10">
        <v>0.67569622860000267</v>
      </c>
    </row>
    <row r="285" spans="2:5" x14ac:dyDescent="0.35">
      <c r="B285" s="9" t="s">
        <v>402</v>
      </c>
      <c r="C285" s="9">
        <v>283</v>
      </c>
      <c r="D285" s="10">
        <v>0.76196421099999978</v>
      </c>
      <c r="E285" s="10">
        <v>0.67701570730000271</v>
      </c>
    </row>
    <row r="286" spans="2:5" x14ac:dyDescent="0.35">
      <c r="B286" s="9" t="s">
        <v>403</v>
      </c>
      <c r="C286" s="9">
        <v>284</v>
      </c>
      <c r="D286" s="10">
        <v>0.76462679779999976</v>
      </c>
      <c r="E286" s="10">
        <v>0.6788820261000027</v>
      </c>
    </row>
    <row r="287" spans="2:5" x14ac:dyDescent="0.35">
      <c r="B287" s="9" t="s">
        <v>404</v>
      </c>
      <c r="C287" s="9">
        <v>285</v>
      </c>
      <c r="D287" s="10">
        <v>0.7674889966999997</v>
      </c>
      <c r="E287" s="10">
        <v>0.68078200270000266</v>
      </c>
    </row>
    <row r="288" spans="2:5" x14ac:dyDescent="0.35">
      <c r="B288" s="9" t="s">
        <v>405</v>
      </c>
      <c r="C288" s="9">
        <v>286</v>
      </c>
      <c r="D288" s="10">
        <v>0.77034573379999971</v>
      </c>
      <c r="E288" s="10">
        <v>0.68273356840000265</v>
      </c>
    </row>
    <row r="289" spans="2:5" x14ac:dyDescent="0.35">
      <c r="B289" s="9" t="s">
        <v>406</v>
      </c>
      <c r="C289" s="9">
        <v>287</v>
      </c>
      <c r="D289" s="10">
        <v>0.77326500239999973</v>
      </c>
      <c r="E289" s="10">
        <v>0.68473741890000261</v>
      </c>
    </row>
    <row r="290" spans="2:5" x14ac:dyDescent="0.35">
      <c r="B290" s="9" t="s">
        <v>407</v>
      </c>
      <c r="C290" s="9">
        <v>288</v>
      </c>
      <c r="D290" s="10">
        <v>0.77618113659999977</v>
      </c>
      <c r="E290" s="10">
        <v>0.68685440170000256</v>
      </c>
    </row>
    <row r="291" spans="2:5" x14ac:dyDescent="0.35">
      <c r="B291" s="9" t="s">
        <v>408</v>
      </c>
      <c r="C291" s="9">
        <v>289</v>
      </c>
      <c r="D291" s="10">
        <v>0.77862331169999976</v>
      </c>
      <c r="E291" s="10">
        <v>0.68869536850000257</v>
      </c>
    </row>
    <row r="292" spans="2:5" x14ac:dyDescent="0.35">
      <c r="B292" s="9" t="s">
        <v>409</v>
      </c>
      <c r="C292" s="9">
        <v>290</v>
      </c>
      <c r="D292" s="10">
        <v>0.7805901329999998</v>
      </c>
      <c r="E292" s="10">
        <v>0.69032223460000253</v>
      </c>
    </row>
    <row r="293" spans="2:5" x14ac:dyDescent="0.35">
      <c r="B293" s="9" t="s">
        <v>410</v>
      </c>
      <c r="C293" s="9">
        <v>291</v>
      </c>
      <c r="D293" s="10">
        <v>0.78329761269999976</v>
      </c>
      <c r="E293" s="10">
        <v>0.69256486900000258</v>
      </c>
    </row>
    <row r="294" spans="2:5" x14ac:dyDescent="0.35">
      <c r="B294" s="9" t="s">
        <v>411</v>
      </c>
      <c r="C294" s="9">
        <v>292</v>
      </c>
      <c r="D294" s="10">
        <v>0.78620550139999978</v>
      </c>
      <c r="E294" s="10">
        <v>0.69484358680000258</v>
      </c>
    </row>
    <row r="295" spans="2:5" x14ac:dyDescent="0.35">
      <c r="B295" s="9" t="s">
        <v>412</v>
      </c>
      <c r="C295" s="9">
        <v>293</v>
      </c>
      <c r="D295" s="10">
        <v>0.78910910659999978</v>
      </c>
      <c r="E295" s="10">
        <v>0.69717907600000262</v>
      </c>
    </row>
    <row r="296" spans="2:5" x14ac:dyDescent="0.35">
      <c r="B296" s="9" t="s">
        <v>413</v>
      </c>
      <c r="C296" s="9">
        <v>294</v>
      </c>
      <c r="D296" s="10">
        <v>0.79207653859999982</v>
      </c>
      <c r="E296" s="10">
        <v>0.69957301770000258</v>
      </c>
    </row>
    <row r="297" spans="2:5" x14ac:dyDescent="0.35">
      <c r="B297" s="9" t="s">
        <v>414</v>
      </c>
      <c r="C297" s="9">
        <v>295</v>
      </c>
      <c r="D297" s="10">
        <v>0.79504181099999982</v>
      </c>
      <c r="E297" s="10">
        <v>0.70209237930000257</v>
      </c>
    </row>
    <row r="298" spans="2:5" x14ac:dyDescent="0.35">
      <c r="B298" s="9" t="s">
        <v>415</v>
      </c>
      <c r="C298" s="9">
        <v>296</v>
      </c>
      <c r="D298" s="10">
        <v>0.79751863209999985</v>
      </c>
      <c r="E298" s="10">
        <v>0.70430246110000261</v>
      </c>
    </row>
    <row r="299" spans="2:5" x14ac:dyDescent="0.35">
      <c r="B299" s="9" t="s">
        <v>416</v>
      </c>
      <c r="C299" s="9">
        <v>297</v>
      </c>
      <c r="D299" s="10">
        <v>0.7995210532999999</v>
      </c>
      <c r="E299" s="10">
        <v>0.70627328670000256</v>
      </c>
    </row>
    <row r="300" spans="2:5" x14ac:dyDescent="0.35">
      <c r="B300" s="9" t="s">
        <v>417</v>
      </c>
      <c r="C300" s="9">
        <v>298</v>
      </c>
      <c r="D300" s="10">
        <v>0.8022804711999999</v>
      </c>
      <c r="E300" s="10">
        <v>0.70892734290000259</v>
      </c>
    </row>
    <row r="301" spans="2:5" x14ac:dyDescent="0.35">
      <c r="B301" s="9" t="s">
        <v>418</v>
      </c>
      <c r="C301" s="9">
        <v>299</v>
      </c>
      <c r="D301" s="10">
        <v>0.80524169559999992</v>
      </c>
      <c r="E301" s="10">
        <v>0.71162073060000264</v>
      </c>
    </row>
    <row r="302" spans="2:5" x14ac:dyDescent="0.35">
      <c r="B302" s="9" t="s">
        <v>419</v>
      </c>
      <c r="C302" s="9">
        <v>300</v>
      </c>
      <c r="D302" s="10">
        <v>0.80819962469999995</v>
      </c>
      <c r="E302" s="10">
        <v>0.71437545000000269</v>
      </c>
    </row>
    <row r="303" spans="2:5" x14ac:dyDescent="0.35">
      <c r="B303" s="9" t="s">
        <v>420</v>
      </c>
      <c r="C303" s="9">
        <v>301</v>
      </c>
      <c r="D303" s="10">
        <v>0.81122215989999991</v>
      </c>
      <c r="E303" s="10">
        <v>0.71719185340000269</v>
      </c>
    </row>
    <row r="304" spans="2:5" x14ac:dyDescent="0.35">
      <c r="B304" s="9" t="s">
        <v>421</v>
      </c>
      <c r="C304" s="9">
        <v>302</v>
      </c>
      <c r="D304" s="10">
        <v>0.81424387889999994</v>
      </c>
      <c r="E304" s="10">
        <v>0.72014579000000267</v>
      </c>
    </row>
    <row r="305" spans="2:5" x14ac:dyDescent="0.35">
      <c r="B305" s="9" t="s">
        <v>422</v>
      </c>
      <c r="C305" s="9">
        <v>303</v>
      </c>
      <c r="D305" s="10">
        <v>0.81676217939999995</v>
      </c>
      <c r="E305" s="10">
        <v>0.72275829740000264</v>
      </c>
    </row>
    <row r="306" spans="2:5" x14ac:dyDescent="0.35">
      <c r="B306" s="9" t="s">
        <v>423</v>
      </c>
      <c r="C306" s="9">
        <v>304</v>
      </c>
      <c r="D306" s="10">
        <v>0.81881599239999991</v>
      </c>
      <c r="E306" s="10">
        <v>0.72511963160000259</v>
      </c>
    </row>
    <row r="307" spans="2:5" x14ac:dyDescent="0.35">
      <c r="B307" s="9" t="s">
        <v>424</v>
      </c>
      <c r="C307" s="9">
        <v>305</v>
      </c>
      <c r="D307" s="10">
        <v>0.82072894109999994</v>
      </c>
      <c r="E307" s="10">
        <v>0.72802006930000263</v>
      </c>
    </row>
    <row r="308" spans="2:5" x14ac:dyDescent="0.35">
      <c r="B308" s="9" t="s">
        <v>425</v>
      </c>
      <c r="C308" s="9">
        <v>306</v>
      </c>
      <c r="D308" s="10">
        <v>0.82370421569999996</v>
      </c>
      <c r="E308" s="10">
        <v>0.73111094200000259</v>
      </c>
    </row>
    <row r="309" spans="2:5" x14ac:dyDescent="0.35">
      <c r="B309" s="9" t="s">
        <v>426</v>
      </c>
      <c r="C309" s="9">
        <v>307</v>
      </c>
      <c r="D309" s="10">
        <v>0.82673758819999998</v>
      </c>
      <c r="E309" s="10">
        <v>0.73431231000000263</v>
      </c>
    </row>
    <row r="310" spans="2:5" x14ac:dyDescent="0.35">
      <c r="B310" s="9" t="s">
        <v>427</v>
      </c>
      <c r="C310" s="9">
        <v>308</v>
      </c>
      <c r="D310" s="10">
        <v>0.82983764419999995</v>
      </c>
      <c r="E310" s="10">
        <v>0.73757781400000266</v>
      </c>
    </row>
    <row r="311" spans="2:5" x14ac:dyDescent="0.35">
      <c r="B311" s="9" t="s">
        <v>428</v>
      </c>
      <c r="C311" s="9">
        <v>309</v>
      </c>
      <c r="D311" s="10">
        <v>0.83293292019999998</v>
      </c>
      <c r="E311" s="10">
        <v>0.74097916220000271</v>
      </c>
    </row>
    <row r="312" spans="2:5" x14ac:dyDescent="0.35">
      <c r="B312" s="9" t="s">
        <v>429</v>
      </c>
      <c r="C312" s="9">
        <v>310</v>
      </c>
      <c r="D312" s="10">
        <v>0.83551678579999999</v>
      </c>
      <c r="E312" s="10">
        <v>0.74400187000000273</v>
      </c>
    </row>
    <row r="313" spans="2:5" x14ac:dyDescent="0.35">
      <c r="B313" s="9" t="s">
        <v>430</v>
      </c>
      <c r="C313" s="9">
        <v>311</v>
      </c>
      <c r="D313" s="10">
        <v>0.83763389759999995</v>
      </c>
      <c r="E313" s="10">
        <v>0.74675519940000268</v>
      </c>
    </row>
    <row r="314" spans="2:5" x14ac:dyDescent="0.35">
      <c r="B314" s="9" t="s">
        <v>431</v>
      </c>
      <c r="C314" s="9">
        <v>312</v>
      </c>
      <c r="D314" s="10">
        <v>0.84053056959999994</v>
      </c>
      <c r="E314" s="10">
        <v>0.75030951000000268</v>
      </c>
    </row>
    <row r="315" spans="2:5" x14ac:dyDescent="0.35">
      <c r="B315" s="9" t="s">
        <v>432</v>
      </c>
      <c r="C315" s="9">
        <v>313</v>
      </c>
      <c r="D315" s="10">
        <v>0.84363206119999989</v>
      </c>
      <c r="E315" s="10">
        <v>0.75389825570000268</v>
      </c>
    </row>
    <row r="316" spans="2:5" x14ac:dyDescent="0.35">
      <c r="B316" s="9" t="s">
        <v>433</v>
      </c>
      <c r="C316" s="9">
        <v>314</v>
      </c>
      <c r="D316" s="10">
        <v>0.84673032559999994</v>
      </c>
      <c r="E316" s="10">
        <v>0.7575518112000027</v>
      </c>
    </row>
    <row r="317" spans="2:5" x14ac:dyDescent="0.35">
      <c r="B317" s="9" t="s">
        <v>434</v>
      </c>
      <c r="C317" s="9">
        <v>315</v>
      </c>
      <c r="D317" s="10">
        <v>0.84897531549999994</v>
      </c>
      <c r="E317" s="10">
        <v>0.76106832620000275</v>
      </c>
    </row>
    <row r="318" spans="2:5" x14ac:dyDescent="0.35">
      <c r="B318" s="9" t="s">
        <v>435</v>
      </c>
      <c r="C318" s="9">
        <v>316</v>
      </c>
      <c r="D318" s="10">
        <v>0.85186124829999998</v>
      </c>
      <c r="E318" s="10">
        <v>0.76488181640000275</v>
      </c>
    </row>
    <row r="319" spans="2:5" x14ac:dyDescent="0.35">
      <c r="B319" s="9" t="s">
        <v>436</v>
      </c>
      <c r="C319" s="9">
        <v>317</v>
      </c>
      <c r="D319" s="10">
        <v>0.85449624039999994</v>
      </c>
      <c r="E319" s="10">
        <v>0.76832612380000276</v>
      </c>
    </row>
    <row r="320" spans="2:5" x14ac:dyDescent="0.35">
      <c r="B320" s="9" t="s">
        <v>437</v>
      </c>
      <c r="C320" s="9">
        <v>318</v>
      </c>
      <c r="D320" s="10">
        <v>0.85666460929999999</v>
      </c>
      <c r="E320" s="10">
        <v>0.77147432080000278</v>
      </c>
    </row>
    <row r="321" spans="2:5" x14ac:dyDescent="0.35">
      <c r="B321" s="9" t="s">
        <v>438</v>
      </c>
      <c r="C321" s="9">
        <v>319</v>
      </c>
      <c r="D321" s="10">
        <v>0.85962743429999999</v>
      </c>
      <c r="E321" s="10">
        <v>0.77548126940000273</v>
      </c>
    </row>
    <row r="322" spans="2:5" x14ac:dyDescent="0.35">
      <c r="B322" s="9" t="s">
        <v>439</v>
      </c>
      <c r="C322" s="9">
        <v>320</v>
      </c>
      <c r="D322" s="10">
        <v>0.8627948634</v>
      </c>
      <c r="E322" s="10">
        <v>0.77951770690000277</v>
      </c>
    </row>
    <row r="323" spans="2:5" x14ac:dyDescent="0.35">
      <c r="B323" s="9" t="s">
        <v>440</v>
      </c>
      <c r="C323" s="9">
        <v>321</v>
      </c>
      <c r="D323" s="10">
        <v>0.8659590358</v>
      </c>
      <c r="E323" s="10">
        <v>0.78361732140000273</v>
      </c>
    </row>
    <row r="324" spans="2:5" x14ac:dyDescent="0.35">
      <c r="B324" s="9" t="s">
        <v>441</v>
      </c>
      <c r="C324" s="9">
        <v>322</v>
      </c>
      <c r="D324" s="10">
        <v>0.86918981350000002</v>
      </c>
      <c r="E324" s="10">
        <v>0.78777847790000277</v>
      </c>
    </row>
    <row r="325" spans="2:5" x14ac:dyDescent="0.35">
      <c r="B325" s="9" t="s">
        <v>442</v>
      </c>
      <c r="C325" s="9">
        <v>323</v>
      </c>
      <c r="D325" s="10">
        <v>0.87241581960000003</v>
      </c>
      <c r="E325" s="10">
        <v>0.79208327370000275</v>
      </c>
    </row>
    <row r="326" spans="2:5" x14ac:dyDescent="0.35">
      <c r="B326" s="9" t="s">
        <v>443</v>
      </c>
      <c r="C326" s="9">
        <v>324</v>
      </c>
      <c r="D326" s="10">
        <v>0.87510238610000002</v>
      </c>
      <c r="E326" s="10">
        <v>0.79593553620000279</v>
      </c>
    </row>
    <row r="327" spans="2:5" x14ac:dyDescent="0.35">
      <c r="B327" s="9" t="s">
        <v>444</v>
      </c>
      <c r="C327" s="9">
        <v>325</v>
      </c>
      <c r="D327" s="10">
        <v>0.87732220989999998</v>
      </c>
      <c r="E327" s="10">
        <v>0.79946366300000282</v>
      </c>
    </row>
    <row r="328" spans="2:5" x14ac:dyDescent="0.35">
      <c r="B328" s="9" t="s">
        <v>445</v>
      </c>
      <c r="C328" s="9">
        <v>326</v>
      </c>
      <c r="D328" s="10">
        <v>0.88034963050000004</v>
      </c>
      <c r="E328" s="10">
        <v>0.80389991450000287</v>
      </c>
    </row>
    <row r="329" spans="2:5" x14ac:dyDescent="0.35">
      <c r="B329" s="9" t="s">
        <v>446</v>
      </c>
      <c r="C329" s="9">
        <v>327</v>
      </c>
      <c r="D329" s="10">
        <v>0.88358129330000001</v>
      </c>
      <c r="E329" s="10">
        <v>0.8083597375000029</v>
      </c>
    </row>
    <row r="330" spans="2:5" x14ac:dyDescent="0.35">
      <c r="B330" s="9" t="s">
        <v>447</v>
      </c>
      <c r="C330" s="9">
        <v>328</v>
      </c>
      <c r="D330" s="10">
        <v>0.88680914490000007</v>
      </c>
      <c r="E330" s="10">
        <v>0.81287751850000289</v>
      </c>
    </row>
    <row r="331" spans="2:5" x14ac:dyDescent="0.35">
      <c r="B331" s="9" t="s">
        <v>448</v>
      </c>
      <c r="C331" s="9">
        <v>329</v>
      </c>
      <c r="D331" s="10">
        <v>0.89010366500000004</v>
      </c>
      <c r="E331" s="10">
        <v>0.8174525830000029</v>
      </c>
    </row>
    <row r="332" spans="2:5" x14ac:dyDescent="0.35">
      <c r="B332" s="9" t="s">
        <v>449</v>
      </c>
      <c r="C332" s="9">
        <v>330</v>
      </c>
      <c r="D332" s="10">
        <v>0.89339297500000003</v>
      </c>
      <c r="E332" s="10">
        <v>0.82217224280000289</v>
      </c>
    </row>
    <row r="333" spans="2:5" x14ac:dyDescent="0.35">
      <c r="B333" s="9" t="s">
        <v>450</v>
      </c>
      <c r="C333" s="9">
        <v>331</v>
      </c>
      <c r="D333" s="10">
        <v>0.89612931910000004</v>
      </c>
      <c r="E333" s="10">
        <v>0.82640186080000289</v>
      </c>
    </row>
    <row r="334" spans="2:5" x14ac:dyDescent="0.35">
      <c r="B334" s="9" t="s">
        <v>451</v>
      </c>
      <c r="C334" s="9">
        <v>332</v>
      </c>
      <c r="D334" s="10">
        <v>0.89839880370000003</v>
      </c>
      <c r="E334" s="10">
        <v>0.83027951660000288</v>
      </c>
    </row>
    <row r="335" spans="2:5" x14ac:dyDescent="0.35">
      <c r="B335" s="9" t="s">
        <v>452</v>
      </c>
      <c r="C335" s="9">
        <v>333</v>
      </c>
      <c r="D335" s="10">
        <v>0.90148782550000006</v>
      </c>
      <c r="E335" s="10">
        <v>0.83510963280000283</v>
      </c>
    </row>
    <row r="336" spans="2:5" x14ac:dyDescent="0.35">
      <c r="B336" s="9" t="s">
        <v>453</v>
      </c>
      <c r="C336" s="9">
        <v>334</v>
      </c>
      <c r="D336" s="10">
        <v>0.90478000330000008</v>
      </c>
      <c r="E336" s="10">
        <v>0.83995392220000287</v>
      </c>
    </row>
    <row r="337" spans="2:5" x14ac:dyDescent="0.35">
      <c r="B337" s="9" t="s">
        <v>454</v>
      </c>
      <c r="C337" s="9">
        <v>335</v>
      </c>
      <c r="D337" s="10">
        <v>0.90806751880000003</v>
      </c>
      <c r="E337" s="10">
        <v>0.84484864040000285</v>
      </c>
    </row>
    <row r="338" spans="2:5" x14ac:dyDescent="0.35">
      <c r="B338" s="9" t="s">
        <v>455</v>
      </c>
      <c r="C338" s="9">
        <v>336</v>
      </c>
      <c r="D338" s="10">
        <v>0.91142027930000002</v>
      </c>
      <c r="E338" s="10">
        <v>0.8497928914000028</v>
      </c>
    </row>
    <row r="339" spans="2:5" x14ac:dyDescent="0.35">
      <c r="B339" s="9" t="s">
        <v>456</v>
      </c>
      <c r="C339" s="9">
        <v>337</v>
      </c>
      <c r="D339" s="10">
        <v>0.91476723040000008</v>
      </c>
      <c r="E339" s="10">
        <v>0.85487831990000285</v>
      </c>
    </row>
    <row r="340" spans="2:5" x14ac:dyDescent="0.35">
      <c r="B340" s="9" t="s">
        <v>457</v>
      </c>
      <c r="C340" s="9">
        <v>338</v>
      </c>
      <c r="D340" s="10">
        <v>0.91754889880000012</v>
      </c>
      <c r="E340" s="10">
        <v>0.8594393617000029</v>
      </c>
    </row>
    <row r="341" spans="2:5" x14ac:dyDescent="0.35">
      <c r="B341" s="9" t="s">
        <v>458</v>
      </c>
      <c r="C341" s="9">
        <v>339</v>
      </c>
      <c r="D341" s="10">
        <v>0.91986283740000008</v>
      </c>
      <c r="E341" s="10">
        <v>0.86362101900000288</v>
      </c>
    </row>
    <row r="342" spans="2:5" x14ac:dyDescent="0.35">
      <c r="B342" s="9" t="s">
        <v>459</v>
      </c>
      <c r="C342" s="9">
        <v>340</v>
      </c>
      <c r="D342" s="10">
        <v>0.92300585700000004</v>
      </c>
      <c r="E342" s="10">
        <v>0.86879128020000285</v>
      </c>
    </row>
    <row r="343" spans="2:5" x14ac:dyDescent="0.35">
      <c r="B343" s="9" t="s">
        <v>460</v>
      </c>
      <c r="C343" s="9">
        <v>341</v>
      </c>
      <c r="D343" s="10">
        <v>0.92635181580000003</v>
      </c>
      <c r="E343" s="10">
        <v>0.87396699640000286</v>
      </c>
    </row>
    <row r="344" spans="2:5" x14ac:dyDescent="0.35">
      <c r="B344" s="9" t="s">
        <v>461</v>
      </c>
      <c r="C344" s="9">
        <v>342</v>
      </c>
      <c r="D344" s="10">
        <v>0.92969143129999998</v>
      </c>
      <c r="E344" s="10">
        <v>0.87918472310000284</v>
      </c>
    </row>
    <row r="345" spans="2:5" x14ac:dyDescent="0.35">
      <c r="B345" s="9" t="s">
        <v>462</v>
      </c>
      <c r="C345" s="9">
        <v>343</v>
      </c>
      <c r="D345" s="10">
        <v>0.93309501500000003</v>
      </c>
      <c r="E345" s="10">
        <v>0.88444306160000286</v>
      </c>
    </row>
    <row r="346" spans="2:5" x14ac:dyDescent="0.35">
      <c r="B346" s="9" t="s">
        <v>463</v>
      </c>
      <c r="C346" s="9">
        <v>344</v>
      </c>
      <c r="D346" s="10">
        <v>0.93649099430000005</v>
      </c>
      <c r="E346" s="10">
        <v>0.8898375800000029</v>
      </c>
    </row>
    <row r="347" spans="2:5" x14ac:dyDescent="0.35">
      <c r="B347" s="9" t="s">
        <v>464</v>
      </c>
      <c r="C347" s="9">
        <v>345</v>
      </c>
      <c r="D347" s="10">
        <v>0.93931057800000006</v>
      </c>
      <c r="E347" s="10">
        <v>0.89467444030000287</v>
      </c>
    </row>
    <row r="348" spans="2:5" x14ac:dyDescent="0.35">
      <c r="B348" s="9" t="s">
        <v>465</v>
      </c>
      <c r="C348" s="9">
        <v>346</v>
      </c>
      <c r="D348" s="10">
        <v>0.94166092390000011</v>
      </c>
      <c r="E348" s="10">
        <v>0.89910623360000286</v>
      </c>
    </row>
    <row r="349" spans="2:5" x14ac:dyDescent="0.35">
      <c r="B349" s="9" t="s">
        <v>466</v>
      </c>
      <c r="C349" s="9">
        <v>347</v>
      </c>
      <c r="D349" s="10">
        <v>0.94484849570000007</v>
      </c>
      <c r="E349" s="10">
        <v>0.90455570800000284</v>
      </c>
    </row>
    <row r="350" spans="2:5" x14ac:dyDescent="0.35">
      <c r="B350" s="9" t="s">
        <v>467</v>
      </c>
      <c r="C350" s="9">
        <v>348</v>
      </c>
      <c r="D350" s="10">
        <v>0.94823720430000003</v>
      </c>
      <c r="E350" s="10">
        <v>0.90999984710000281</v>
      </c>
    </row>
    <row r="351" spans="2:5" x14ac:dyDescent="0.35">
      <c r="B351" s="9" t="s">
        <v>468</v>
      </c>
      <c r="C351" s="9">
        <v>349</v>
      </c>
      <c r="D351" s="10">
        <v>0.95161821810000002</v>
      </c>
      <c r="E351" s="10">
        <v>0.91547674260000278</v>
      </c>
    </row>
    <row r="352" spans="2:5" x14ac:dyDescent="0.35">
      <c r="B352" s="9" t="s">
        <v>469</v>
      </c>
      <c r="C352" s="9">
        <v>350</v>
      </c>
      <c r="D352" s="10">
        <v>0.95506184770000002</v>
      </c>
      <c r="E352" s="10">
        <v>0.92098498700000275</v>
      </c>
    </row>
    <row r="353" spans="2:6" x14ac:dyDescent="0.35">
      <c r="B353" s="9" t="s">
        <v>470</v>
      </c>
      <c r="C353" s="9">
        <v>351</v>
      </c>
      <c r="D353" s="10">
        <v>0.95849669410000005</v>
      </c>
      <c r="E353" s="10">
        <v>0.9266254762000028</v>
      </c>
    </row>
    <row r="354" spans="2:6" x14ac:dyDescent="0.35">
      <c r="B354" s="9" t="s">
        <v>471</v>
      </c>
      <c r="C354" s="9">
        <v>352</v>
      </c>
      <c r="D354" s="10">
        <v>0.96134558219999999</v>
      </c>
      <c r="E354" s="10">
        <v>0.93167925900000281</v>
      </c>
    </row>
    <row r="355" spans="2:6" x14ac:dyDescent="0.35">
      <c r="B355" s="9" t="s">
        <v>472</v>
      </c>
      <c r="C355" s="9">
        <v>353</v>
      </c>
      <c r="D355" s="10">
        <v>0.96372377909999996</v>
      </c>
      <c r="E355" s="10">
        <v>0.93630419000000287</v>
      </c>
    </row>
    <row r="356" spans="2:6" x14ac:dyDescent="0.35">
      <c r="B356" s="9" t="s">
        <v>473</v>
      </c>
      <c r="C356" s="9">
        <v>354</v>
      </c>
      <c r="D356" s="10">
        <v>0.96694568309999995</v>
      </c>
      <c r="E356" s="10">
        <v>0.94197011140000286</v>
      </c>
    </row>
    <row r="357" spans="2:6" x14ac:dyDescent="0.35">
      <c r="B357" s="9" t="s">
        <v>474</v>
      </c>
      <c r="C357" s="9">
        <v>355</v>
      </c>
      <c r="D357" s="10">
        <v>0.97036736209999996</v>
      </c>
      <c r="E357" s="10">
        <v>0.94762087310000287</v>
      </c>
    </row>
    <row r="358" spans="2:6" x14ac:dyDescent="0.35">
      <c r="B358" s="9" t="s">
        <v>475</v>
      </c>
      <c r="C358" s="9">
        <v>356</v>
      </c>
      <c r="D358" s="10">
        <v>0.97377954579999992</v>
      </c>
      <c r="E358" s="10">
        <v>0.95329546470000281</v>
      </c>
    </row>
    <row r="359" spans="2:6" x14ac:dyDescent="0.35">
      <c r="B359" s="9" t="s">
        <v>476</v>
      </c>
      <c r="C359" s="9">
        <v>357</v>
      </c>
      <c r="D359" s="10">
        <v>0.9772529781999999</v>
      </c>
      <c r="E359" s="10">
        <v>0.95899256830000279</v>
      </c>
    </row>
    <row r="360" spans="2:6" x14ac:dyDescent="0.35">
      <c r="B360" s="9" t="s">
        <v>477</v>
      </c>
      <c r="C360" s="9">
        <v>358</v>
      </c>
      <c r="D360" s="10">
        <v>0.98038311339999995</v>
      </c>
      <c r="E360" s="10">
        <v>0.96440750110000284</v>
      </c>
    </row>
    <row r="361" spans="2:6" x14ac:dyDescent="0.35">
      <c r="B361" s="9" t="s">
        <v>478</v>
      </c>
      <c r="C361" s="9">
        <v>359</v>
      </c>
      <c r="D361" s="10">
        <v>0.98250414489999993</v>
      </c>
      <c r="E361" s="10">
        <v>0.96894078300000286</v>
      </c>
    </row>
    <row r="362" spans="2:6" x14ac:dyDescent="0.35">
      <c r="B362" s="9" t="s">
        <v>479</v>
      </c>
      <c r="C362" s="9">
        <v>360</v>
      </c>
      <c r="D362" s="10">
        <v>0.98456904179999993</v>
      </c>
      <c r="E362" s="10">
        <v>0.97318275400000287</v>
      </c>
    </row>
    <row r="363" spans="2:6" x14ac:dyDescent="0.35">
      <c r="B363" s="9" t="s">
        <v>480</v>
      </c>
      <c r="C363" s="9">
        <v>361</v>
      </c>
      <c r="D363" s="10">
        <v>0.98748177289999994</v>
      </c>
      <c r="E363" s="10">
        <v>0.97852714780000283</v>
      </c>
    </row>
    <row r="364" spans="2:6" x14ac:dyDescent="0.35">
      <c r="B364" s="9" t="s">
        <v>481</v>
      </c>
      <c r="C364" s="9">
        <v>362</v>
      </c>
      <c r="D364" s="10">
        <v>0.99059253959999993</v>
      </c>
      <c r="E364" s="10">
        <v>0.98384672440000287</v>
      </c>
    </row>
    <row r="365" spans="2:6" x14ac:dyDescent="0.35">
      <c r="B365" s="9" t="s">
        <v>482</v>
      </c>
      <c r="C365" s="9">
        <v>363</v>
      </c>
      <c r="D365" s="10">
        <v>0.99369249989999997</v>
      </c>
      <c r="E365" s="10">
        <v>0.98918205170000284</v>
      </c>
    </row>
    <row r="366" spans="2:6" x14ac:dyDescent="0.35">
      <c r="B366" s="9" t="s">
        <v>483</v>
      </c>
      <c r="C366" s="9">
        <v>364</v>
      </c>
      <c r="D366" s="10">
        <v>0.99685217119999991</v>
      </c>
      <c r="E366" s="10">
        <v>0.99453195310000286</v>
      </c>
    </row>
    <row r="367" spans="2:6" x14ac:dyDescent="0.35">
      <c r="B367" s="9" t="s">
        <v>484</v>
      </c>
      <c r="C367" s="9">
        <v>365</v>
      </c>
      <c r="D367" s="10">
        <v>1.0000000000000009</v>
      </c>
      <c r="E367" s="10">
        <v>1.0000000000000029</v>
      </c>
    </row>
    <row r="368" spans="2:6" x14ac:dyDescent="0.35">
      <c r="B368" s="9" t="s">
        <v>484</v>
      </c>
      <c r="C368" s="9">
        <v>366</v>
      </c>
      <c r="D368" s="10">
        <v>1.0000000000000009</v>
      </c>
      <c r="E368" s="10">
        <v>1.0000000000000029</v>
      </c>
      <c r="F368" t="s">
        <v>485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56A77-D430-4BB0-89CD-DABDA019869C}">
  <sheetPr>
    <tabColor rgb="FFFF0000"/>
  </sheetPr>
  <dimension ref="B1:AU81"/>
  <sheetViews>
    <sheetView topLeftCell="H17" workbookViewId="0">
      <selection activeCell="AA47" sqref="AA47"/>
    </sheetView>
  </sheetViews>
  <sheetFormatPr defaultRowHeight="14.5" x14ac:dyDescent="0.35"/>
  <cols>
    <col min="1" max="1" width="3.7265625" customWidth="1"/>
    <col min="2" max="2" width="10.54296875" customWidth="1"/>
    <col min="3" max="3" width="15.81640625" customWidth="1"/>
    <col min="4" max="4" width="3.7265625" customWidth="1"/>
    <col min="5" max="5" width="15.81640625" customWidth="1"/>
    <col min="6" max="6" width="3.7265625" customWidth="1"/>
    <col min="7" max="7" width="15.81640625" customWidth="1"/>
    <col min="8" max="8" width="3.7265625" customWidth="1"/>
    <col min="9" max="9" width="15.81640625" customWidth="1"/>
    <col min="10" max="10" width="4.453125" customWidth="1"/>
    <col min="11" max="11" width="2.81640625" customWidth="1"/>
    <col min="12" max="13" width="8.7265625" style="11"/>
    <col min="14" max="14" width="5" style="11" bestFit="1" customWidth="1"/>
    <col min="15" max="15" width="14" style="11" bestFit="1" customWidth="1"/>
    <col min="16" max="16" width="6.26953125" style="11" bestFit="1" customWidth="1"/>
    <col min="17" max="17" width="8.7265625" style="11"/>
    <col min="18" max="18" width="9.453125" style="11" bestFit="1" customWidth="1"/>
    <col min="19" max="19" width="9.453125" style="11" customWidth="1"/>
    <col min="20" max="20" width="9.1796875" style="11" bestFit="1"/>
    <col min="21" max="21" width="3.81640625" customWidth="1"/>
    <col min="22" max="22" width="8.7265625" style="11"/>
    <col min="23" max="23" width="9.1796875" style="11"/>
    <col min="24" max="24" width="8.7265625" style="11"/>
    <col min="25" max="25" width="9.54296875" bestFit="1" customWidth="1"/>
    <col min="26" max="26" width="3.81640625" customWidth="1"/>
    <col min="27" max="27" width="8.7265625" style="11"/>
    <col min="28" max="28" width="9.1796875" style="11"/>
    <col min="29" max="29" width="8.7265625" style="11"/>
    <col min="30" max="30" width="9.54296875" bestFit="1" customWidth="1"/>
    <col min="31" max="31" width="3.81640625" customWidth="1"/>
    <col min="32" max="32" width="8.7265625" style="11"/>
    <col min="33" max="33" width="9.1796875" style="11"/>
    <col min="34" max="34" width="8.7265625" style="11"/>
    <col min="35" max="35" width="10.54296875" bestFit="1" customWidth="1"/>
    <col min="36" max="36" width="3.81640625" customWidth="1"/>
    <col min="38" max="38" width="9.1796875" style="11"/>
    <col min="40" max="40" width="10.54296875" bestFit="1" customWidth="1"/>
    <col min="41" max="41" width="3.81640625" customWidth="1"/>
    <col min="44" max="44" width="11.7265625" bestFit="1" customWidth="1"/>
  </cols>
  <sheetData>
    <row r="1" spans="2:38" s="19" customFormat="1" x14ac:dyDescent="0.35"/>
    <row r="2" spans="2:38" s="20" customFormat="1" ht="21" x14ac:dyDescent="0.5">
      <c r="B2" s="20" t="s">
        <v>0</v>
      </c>
    </row>
    <row r="3" spans="2:38" s="19" customFormat="1" x14ac:dyDescent="0.35"/>
    <row r="4" spans="2:38" x14ac:dyDescent="0.35">
      <c r="M4"/>
      <c r="N4"/>
      <c r="O4"/>
    </row>
    <row r="5" spans="2:38" ht="26" x14ac:dyDescent="0.6">
      <c r="B5" s="21" t="s">
        <v>486</v>
      </c>
      <c r="L5"/>
      <c r="M5"/>
      <c r="N5"/>
      <c r="O5"/>
      <c r="P5"/>
      <c r="Q5"/>
      <c r="R5"/>
      <c r="S5"/>
      <c r="T5"/>
      <c r="V5"/>
      <c r="W5"/>
      <c r="X5"/>
      <c r="AA5"/>
      <c r="AB5"/>
      <c r="AC5"/>
      <c r="AF5"/>
      <c r="AG5"/>
      <c r="AH5"/>
      <c r="AL5"/>
    </row>
    <row r="6" spans="2:38" x14ac:dyDescent="0.35">
      <c r="M6"/>
      <c r="N6"/>
      <c r="O6"/>
    </row>
    <row r="7" spans="2:38" x14ac:dyDescent="0.35">
      <c r="B7" s="2" t="s">
        <v>487</v>
      </c>
      <c r="M7"/>
      <c r="N7"/>
      <c r="O7"/>
    </row>
    <row r="8" spans="2:38" x14ac:dyDescent="0.35">
      <c r="B8" s="38" t="s">
        <v>488</v>
      </c>
      <c r="M8"/>
      <c r="N8"/>
      <c r="O8"/>
    </row>
    <row r="9" spans="2:38" x14ac:dyDescent="0.35">
      <c r="B9" s="38" t="s">
        <v>489</v>
      </c>
      <c r="M9"/>
      <c r="N9"/>
      <c r="O9"/>
    </row>
    <row r="10" spans="2:38" x14ac:dyDescent="0.35">
      <c r="B10" s="2"/>
      <c r="M10"/>
      <c r="N10"/>
      <c r="O10"/>
    </row>
    <row r="11" spans="2:38" x14ac:dyDescent="0.35">
      <c r="B11" s="2" t="s">
        <v>490</v>
      </c>
    </row>
    <row r="12" spans="2:38" ht="5.15" customHeight="1" thickBot="1" x14ac:dyDescent="0.4"/>
    <row r="13" spans="2:38" ht="15" customHeight="1" thickBot="1" x14ac:dyDescent="0.4">
      <c r="B13" t="s">
        <v>14</v>
      </c>
      <c r="G13" s="14">
        <f>'Invoer aardgas'!G16</f>
        <v>44197</v>
      </c>
      <c r="M13" t="s">
        <v>491</v>
      </c>
      <c r="N13"/>
      <c r="O13"/>
      <c r="P13"/>
      <c r="Q13"/>
      <c r="R13" s="42">
        <f>_xlfn.DAYS(G13,DATE(YEAR(G13),1,1))+1</f>
        <v>1</v>
      </c>
      <c r="S13" s="49"/>
      <c r="T13"/>
      <c r="V13" t="s">
        <v>492</v>
      </c>
      <c r="W13"/>
      <c r="X13"/>
      <c r="Y13" s="43">
        <f>VLOOKUP(R13,SLP!C$3:E$368,3,0)</f>
        <v>5.3391690000025253E-3</v>
      </c>
      <c r="AB13"/>
      <c r="AG13"/>
      <c r="AL13"/>
    </row>
    <row r="14" spans="2:38" ht="15" customHeight="1" thickBot="1" x14ac:dyDescent="0.4">
      <c r="B14" t="s">
        <v>15</v>
      </c>
      <c r="G14" s="14">
        <f>'Invoer aardgas'!G17</f>
        <v>44561</v>
      </c>
      <c r="M14" t="s">
        <v>493</v>
      </c>
      <c r="N14"/>
      <c r="O14"/>
      <c r="P14"/>
      <c r="Q14"/>
      <c r="R14" s="42">
        <f>_xlfn.DAYS(G14,DATE(YEAR(G14),1,1))+1</f>
        <v>365</v>
      </c>
      <c r="S14" s="49"/>
      <c r="T14"/>
      <c r="V14" t="s">
        <v>492</v>
      </c>
      <c r="W14"/>
      <c r="X14"/>
      <c r="Y14" s="43">
        <f>VLOOKUP(R14,SLP!C$3:E$367,3,0)</f>
        <v>1.0000000000000029</v>
      </c>
      <c r="AB14"/>
      <c r="AG14"/>
      <c r="AL14"/>
    </row>
    <row r="15" spans="2:38" ht="15" customHeight="1" thickBot="1" x14ac:dyDescent="0.4">
      <c r="B15" t="s">
        <v>16</v>
      </c>
      <c r="G15">
        <f>'Invoer aardgas'!G18</f>
        <v>364</v>
      </c>
      <c r="I15" s="13"/>
    </row>
    <row r="16" spans="2:38" ht="15" customHeight="1" thickBot="1" x14ac:dyDescent="0.4">
      <c r="B16" t="s">
        <v>17</v>
      </c>
      <c r="G16" s="14">
        <f>'Invoer aardgas'!G19</f>
        <v>50000</v>
      </c>
      <c r="M16" t="s">
        <v>494</v>
      </c>
      <c r="N16"/>
      <c r="O16"/>
      <c r="P16"/>
      <c r="Q16"/>
      <c r="R16" s="43">
        <f>YEAR(G14)-YEAR(G13)+Y14-Y13</f>
        <v>0.99466083100000036</v>
      </c>
      <c r="S16" s="48"/>
    </row>
    <row r="17" spans="2:46" x14ac:dyDescent="0.35">
      <c r="M17" t="s">
        <v>495</v>
      </c>
      <c r="N17"/>
      <c r="O17"/>
      <c r="P17"/>
      <c r="Q17"/>
      <c r="R17" s="44">
        <f>G16/R16</f>
        <v>50268.391437241567</v>
      </c>
      <c r="S17" t="s">
        <v>496</v>
      </c>
    </row>
    <row r="18" spans="2:46" x14ac:dyDescent="0.35">
      <c r="C18" s="53" t="str">
        <f>IF(G15&lt;180,"Opgelet, de opnameperiode bedraagt minder dan 180 dagen.","")</f>
        <v/>
      </c>
      <c r="D18" s="52"/>
      <c r="E18" s="52"/>
      <c r="F18" s="52"/>
      <c r="G18" s="52"/>
      <c r="H18" s="52"/>
      <c r="I18" s="52"/>
      <c r="M18"/>
      <c r="N18"/>
      <c r="O18"/>
      <c r="P18"/>
      <c r="Q18"/>
      <c r="R18" s="45"/>
      <c r="S18" s="45"/>
      <c r="T18"/>
    </row>
    <row r="19" spans="2:46" x14ac:dyDescent="0.35">
      <c r="N19" s="2" t="s">
        <v>497</v>
      </c>
      <c r="O19" s="2" t="s">
        <v>498</v>
      </c>
      <c r="P19" s="2" t="s">
        <v>499</v>
      </c>
      <c r="Q19" s="2" t="s">
        <v>500</v>
      </c>
      <c r="R19" s="2" t="s">
        <v>501</v>
      </c>
      <c r="S19" s="2" t="s">
        <v>501</v>
      </c>
      <c r="T19" s="2" t="s">
        <v>502</v>
      </c>
      <c r="V19" s="2" t="s">
        <v>26</v>
      </c>
      <c r="W19" s="2"/>
      <c r="X19"/>
      <c r="AA19" s="2" t="s">
        <v>27</v>
      </c>
      <c r="AB19" s="2"/>
      <c r="AC19"/>
      <c r="AF19" s="2" t="s">
        <v>28</v>
      </c>
      <c r="AG19" s="2"/>
      <c r="AH19"/>
      <c r="AK19" s="2" t="s">
        <v>29</v>
      </c>
      <c r="AL19" s="2"/>
      <c r="AP19" s="2" t="s">
        <v>63</v>
      </c>
      <c r="AQ19" s="2" t="s">
        <v>63</v>
      </c>
      <c r="AR19" s="2" t="s">
        <v>63</v>
      </c>
      <c r="AS19" s="2" t="s">
        <v>503</v>
      </c>
      <c r="AT19" s="2" t="s">
        <v>504</v>
      </c>
    </row>
    <row r="20" spans="2:46" x14ac:dyDescent="0.35">
      <c r="C20" s="2" t="s">
        <v>20</v>
      </c>
      <c r="E20" s="2" t="s">
        <v>21</v>
      </c>
      <c r="G20" s="2" t="s">
        <v>22</v>
      </c>
      <c r="I20" s="2" t="s">
        <v>23</v>
      </c>
      <c r="Q20" t="s">
        <v>505</v>
      </c>
      <c r="R20" t="s">
        <v>506</v>
      </c>
      <c r="S20" t="s">
        <v>507</v>
      </c>
      <c r="T20" t="s">
        <v>508</v>
      </c>
      <c r="V20" t="s">
        <v>509</v>
      </c>
      <c r="W20" t="s">
        <v>510</v>
      </c>
      <c r="X20" t="s">
        <v>511</v>
      </c>
      <c r="Y20" t="s">
        <v>512</v>
      </c>
      <c r="AA20" t="s">
        <v>509</v>
      </c>
      <c r="AB20" t="s">
        <v>510</v>
      </c>
      <c r="AC20" t="s">
        <v>511</v>
      </c>
      <c r="AD20" t="s">
        <v>512</v>
      </c>
      <c r="AF20" t="s">
        <v>509</v>
      </c>
      <c r="AG20" t="s">
        <v>510</v>
      </c>
      <c r="AH20" t="s">
        <v>511</v>
      </c>
      <c r="AI20" t="s">
        <v>512</v>
      </c>
      <c r="AK20" t="s">
        <v>509</v>
      </c>
      <c r="AL20" t="s">
        <v>510</v>
      </c>
      <c r="AM20" t="s">
        <v>511</v>
      </c>
      <c r="AN20" t="s">
        <v>512</v>
      </c>
      <c r="AP20" t="s">
        <v>509</v>
      </c>
      <c r="AQ20" t="s">
        <v>511</v>
      </c>
      <c r="AR20" t="s">
        <v>512</v>
      </c>
      <c r="AT20" s="11"/>
    </row>
    <row r="21" spans="2:46" x14ac:dyDescent="0.35">
      <c r="C21" t="s">
        <v>24</v>
      </c>
      <c r="E21" t="s">
        <v>24</v>
      </c>
      <c r="I21" t="s">
        <v>25</v>
      </c>
      <c r="R21" t="s">
        <v>25</v>
      </c>
      <c r="S21" t="s">
        <v>25</v>
      </c>
      <c r="T21" t="s">
        <v>513</v>
      </c>
      <c r="V21"/>
      <c r="W21" t="s">
        <v>514</v>
      </c>
      <c r="X21" t="s">
        <v>513</v>
      </c>
      <c r="Y21" t="s">
        <v>515</v>
      </c>
      <c r="AA21"/>
      <c r="AB21" t="s">
        <v>514</v>
      </c>
      <c r="AC21" t="s">
        <v>513</v>
      </c>
      <c r="AD21" t="s">
        <v>515</v>
      </c>
      <c r="AF21"/>
      <c r="AG21" t="s">
        <v>514</v>
      </c>
      <c r="AH21" t="s">
        <v>513</v>
      </c>
      <c r="AI21" t="s">
        <v>515</v>
      </c>
      <c r="AL21" t="s">
        <v>514</v>
      </c>
      <c r="AM21" t="s">
        <v>513</v>
      </c>
      <c r="AN21" t="s">
        <v>515</v>
      </c>
      <c r="AQ21" t="s">
        <v>513</v>
      </c>
      <c r="AR21" t="s">
        <v>515</v>
      </c>
      <c r="AT21" s="11"/>
    </row>
    <row r="22" spans="2:46" ht="5.15" customHeight="1" thickBot="1" x14ac:dyDescent="0.4">
      <c r="V22"/>
      <c r="W22"/>
      <c r="X22"/>
      <c r="AA22"/>
      <c r="AB22"/>
      <c r="AC22"/>
      <c r="AF22"/>
      <c r="AG22"/>
      <c r="AH22"/>
      <c r="AL22"/>
    </row>
    <row r="23" spans="2:46" ht="15" thickBot="1" x14ac:dyDescent="0.4">
      <c r="B23" t="s">
        <v>26</v>
      </c>
      <c r="C23" s="14">
        <f>'Invoer aardgas'!C29</f>
        <v>44197</v>
      </c>
      <c r="E23" s="14">
        <f>'Invoer aardgas'!E29</f>
        <v>44926</v>
      </c>
      <c r="G23" s="14" t="str">
        <f>'Invoer aardgas'!G29</f>
        <v>Variabele prijs</v>
      </c>
      <c r="I23" s="18">
        <f>'Invoer aardgas'!I29</f>
        <v>0</v>
      </c>
      <c r="M23" s="46">
        <v>44197</v>
      </c>
      <c r="N23" s="49">
        <v>2021</v>
      </c>
      <c r="O23" s="47">
        <v>1</v>
      </c>
      <c r="P23" s="47">
        <v>31</v>
      </c>
      <c r="Q23" s="48">
        <v>0.17982027080000254</v>
      </c>
      <c r="R23">
        <f>'Energieprijzen kmo''s'!C12</f>
        <v>3.2799999999999996E-2</v>
      </c>
      <c r="S23" s="50">
        <f>'Energieprijzen kmo''s'!E12</f>
        <v>0.01</v>
      </c>
      <c r="T23" s="45">
        <f t="shared" ref="T23:T43" si="0">Q23*$R$17</f>
        <v>9039.2757609253076</v>
      </c>
      <c r="V23">
        <f>IF(OR($C$23="",$E$23=""),0,W23+MAX(0,_xlfn.DAYS(MIN($E$23,DATE(N23,$O23,$P23)),MAX($C$23,DATE(N23,$O23,0)))))</f>
        <v>31</v>
      </c>
      <c r="W23" s="92">
        <f>IF(AND(MONTH($C$23)=O23,YEAR($C$23)=N23),1,0)</f>
        <v>1</v>
      </c>
      <c r="X23" s="45">
        <f>V23/$P23*$T23</f>
        <v>9039.2757609253076</v>
      </c>
      <c r="Y23" s="51">
        <f t="shared" ref="Y23:Y46" si="1">X23*(IF($G$23=$B$9,$R23,$I$23+$S23))</f>
        <v>296.48824495835004</v>
      </c>
      <c r="AA23">
        <f>IF(OR($C$24="",$E$24=""),0,AB23+MAX(0,_xlfn.DAYS(MIN($E$24,DATE(N23,$O23,$P23)),MAX($C$24,DATE(N23,$O23,0)))))</f>
        <v>0</v>
      </c>
      <c r="AB23" s="92">
        <f>IF(AND(MONTH($C$24)=$O23,YEAR($C$24)=N23),1,0)</f>
        <v>0</v>
      </c>
      <c r="AC23" s="45">
        <f>AA23/$P23*$T23</f>
        <v>0</v>
      </c>
      <c r="AD23" s="51">
        <f t="shared" ref="AD23:AD46" si="2">AC23*(IF($G$24=$B$9,$R23,$I$24+$S23))</f>
        <v>0</v>
      </c>
      <c r="AF23">
        <f>IF(OR($C$25="",$E$25=""),0,AG23+MAX(0,_xlfn.DAYS(MIN($E$25,DATE(N23,$O23,$P23)),MAX($C$25,DATE(N23,$O23,0)))))</f>
        <v>0</v>
      </c>
      <c r="AG23" s="92">
        <f>IF(AND(MONTH($C$25)=$O23,YEAR($C$25)=N23),1,0)</f>
        <v>0</v>
      </c>
      <c r="AH23" s="45">
        <f>AF23/$P23*$T23</f>
        <v>0</v>
      </c>
      <c r="AI23" s="51">
        <f t="shared" ref="AI23:AI46" si="3">AH23*(IF($G$25=$B$9,$R23,$I$25+$S23))</f>
        <v>0</v>
      </c>
      <c r="AK23">
        <f>IF(OR($C$26="",$E$26=""),0,AL23+MAX(0,_xlfn.DAYS(MIN($E$26,DATE(N23,$O23,$P23)),MAX($C$26,DATE(N23,$O23,0)))))</f>
        <v>0</v>
      </c>
      <c r="AL23" s="92">
        <f>IF(AND(MONTH($C$26)=$O23,YEAR($C$26)=N23),1,0)</f>
        <v>0</v>
      </c>
      <c r="AM23" s="45">
        <f>AK23/$P23*$T23</f>
        <v>0</v>
      </c>
      <c r="AN23" s="51">
        <f t="shared" ref="AN23:AN46" si="4">AM23*(IF($G$26=$B$9,$R23,$I$26+$S23))</f>
        <v>0</v>
      </c>
      <c r="AP23">
        <f t="shared" ref="AP23:AP43" si="5">AK23+AF23+AA23+V23</f>
        <v>31</v>
      </c>
      <c r="AQ23" s="45">
        <f t="shared" ref="AQ23:AQ34" si="6">AM23+AH23+AC23+X23</f>
        <v>9039.2757609253076</v>
      </c>
      <c r="AR23" s="51">
        <f t="shared" ref="AR23:AR34" si="7">AN23+AI23+AD23+Y23</f>
        <v>296.48824495835004</v>
      </c>
      <c r="AS23">
        <f t="shared" ref="AS23:AS43" si="8">IF(AP23&gt;P23,1,0)</f>
        <v>0</v>
      </c>
      <c r="AT23">
        <f>IF(AP23&lt;P23,1,0)</f>
        <v>0</v>
      </c>
    </row>
    <row r="24" spans="2:46" ht="15" thickBot="1" x14ac:dyDescent="0.4">
      <c r="B24" t="s">
        <v>27</v>
      </c>
      <c r="C24" s="14">
        <f>'Invoer aardgas'!C31</f>
        <v>44927</v>
      </c>
      <c r="E24" s="14">
        <f>'Invoer aardgas'!E31</f>
        <v>45016</v>
      </c>
      <c r="G24" s="14" t="str">
        <f>'Invoer aardgas'!G31</f>
        <v>Variabele prijs</v>
      </c>
      <c r="I24" s="18">
        <f>'Invoer aardgas'!I31</f>
        <v>0</v>
      </c>
      <c r="M24" s="46">
        <v>44228</v>
      </c>
      <c r="N24" s="49">
        <v>2021</v>
      </c>
      <c r="O24" s="47">
        <v>2</v>
      </c>
      <c r="P24" s="47">
        <v>28</v>
      </c>
      <c r="Q24" s="48">
        <v>0.15151247989999983</v>
      </c>
      <c r="R24">
        <f>'Energieprijzen kmo''s'!C13</f>
        <v>3.4700000000000002E-2</v>
      </c>
      <c r="S24" s="50">
        <f>'Energieprijzen kmo''s'!E13</f>
        <v>0.01</v>
      </c>
      <c r="T24" s="45">
        <f t="shared" si="0"/>
        <v>7616.2886472403861</v>
      </c>
      <c r="V24">
        <f>IF(OR($C$23="",$E$23=""),0,W24+MAX(0,_xlfn.DAYS(MIN($E$23,DATE(N24,$O24,$P24)),MAX($C$23,DATE(N24,$O24,0)))))</f>
        <v>28</v>
      </c>
      <c r="W24" s="92">
        <f>IF(AND(MONTH($C$23)=O24,YEAR($C$23)=N24),1,0)</f>
        <v>0</v>
      </c>
      <c r="X24" s="45">
        <f t="shared" ref="X24:X46" si="9">V24/$P24*$T24</f>
        <v>7616.2886472403861</v>
      </c>
      <c r="Y24" s="51">
        <f t="shared" si="1"/>
        <v>264.28521605924141</v>
      </c>
      <c r="AA24">
        <f>IF(OR($C$24="",$E$24=""),0,AB24+MAX(0,_xlfn.DAYS(MIN($E$24,DATE(N24,$O24,$P24)),MAX($C$24,DATE(N24,$O24,0)))))</f>
        <v>0</v>
      </c>
      <c r="AB24" s="92">
        <f>IF(AND(MONTH($C$24)=$O24,YEAR($C$24)=N24),1,0)</f>
        <v>0</v>
      </c>
      <c r="AC24" s="45">
        <f t="shared" ref="AC24:AC46" si="10">AA24/$P24*$T24</f>
        <v>0</v>
      </c>
      <c r="AD24" s="51">
        <f t="shared" si="2"/>
        <v>0</v>
      </c>
      <c r="AF24">
        <f t="shared" ref="AF24:AF46" si="11">IF(OR($C$25="",$E$25=""),0,AG24+MAX(0,_xlfn.DAYS(MIN($E$25,DATE(N24,$O24,$P24)),MAX($C$25,DATE(N24,$O24,0)))))</f>
        <v>0</v>
      </c>
      <c r="AG24" s="92">
        <f>IF(AND(MONTH($C$25)=$O24,YEAR($C$25)=N24),1,0)</f>
        <v>0</v>
      </c>
      <c r="AH24" s="45">
        <f t="shared" ref="AH24:AH46" si="12">AF24/$P24*$T24</f>
        <v>0</v>
      </c>
      <c r="AI24" s="51">
        <f t="shared" si="3"/>
        <v>0</v>
      </c>
      <c r="AK24">
        <f t="shared" ref="AK24:AK46" si="13">IF(OR($C$26="",$E$26=""),0,AL24+MAX(0,_xlfn.DAYS(MIN($E$26,DATE(N24,$O24,$P24)),MAX($C$26,DATE(N24,$O24,0)))))</f>
        <v>0</v>
      </c>
      <c r="AL24" s="92">
        <f>IF(AND(MONTH($C$26)=$O24,YEAR($C$26)=N24),1,0)</f>
        <v>0</v>
      </c>
      <c r="AM24" s="45">
        <f t="shared" ref="AM24:AM46" si="14">AK24/$P24*$T24</f>
        <v>0</v>
      </c>
      <c r="AN24" s="51">
        <f t="shared" si="4"/>
        <v>0</v>
      </c>
      <c r="AP24">
        <f t="shared" si="5"/>
        <v>28</v>
      </c>
      <c r="AQ24" s="45">
        <f t="shared" si="6"/>
        <v>7616.2886472403861</v>
      </c>
      <c r="AR24" s="51">
        <f t="shared" si="7"/>
        <v>264.28521605924141</v>
      </c>
      <c r="AS24">
        <f t="shared" si="8"/>
        <v>0</v>
      </c>
      <c r="AT24">
        <f t="shared" ref="AT24:AT46" si="15">IF(AP24&lt;P24,1,0)</f>
        <v>0</v>
      </c>
    </row>
    <row r="25" spans="2:46" ht="15" thickBot="1" x14ac:dyDescent="0.4">
      <c r="B25" t="s">
        <v>28</v>
      </c>
      <c r="C25" s="14">
        <f>'Invoer aardgas'!C33</f>
        <v>0</v>
      </c>
      <c r="E25" s="14">
        <f>'Invoer aardgas'!E33</f>
        <v>0</v>
      </c>
      <c r="G25" s="14">
        <f>'Invoer aardgas'!G33</f>
        <v>0</v>
      </c>
      <c r="I25" s="18">
        <f>'Invoer aardgas'!I33</f>
        <v>0</v>
      </c>
      <c r="M25" s="46">
        <v>44256</v>
      </c>
      <c r="N25" s="49">
        <v>2021</v>
      </c>
      <c r="O25" s="47">
        <v>3</v>
      </c>
      <c r="P25" s="47">
        <v>31</v>
      </c>
      <c r="Q25" s="48">
        <v>0.12695361890000001</v>
      </c>
      <c r="R25">
        <f>'Energieprijzen kmo''s'!C14</f>
        <v>3.32E-2</v>
      </c>
      <c r="S25" s="50">
        <f>'Energieprijzen kmo''s'!E14</f>
        <v>0.01</v>
      </c>
      <c r="T25" s="45">
        <f t="shared" si="0"/>
        <v>6381.7542092395897</v>
      </c>
      <c r="V25">
        <f>IF(OR($C$23="",$E$23=""),0,W25+MAX(0,_xlfn.DAYS(MIN($E$23,DATE(N25,$O25,$P25)),MAX($C$23,DATE(N25,$O25,0)))))</f>
        <v>31</v>
      </c>
      <c r="W25" s="92">
        <f>IF(AND(MONTH($C$23)=O25,YEAR($C$23)=N25),1,0)</f>
        <v>0</v>
      </c>
      <c r="X25" s="45">
        <f t="shared" si="9"/>
        <v>6381.7542092395897</v>
      </c>
      <c r="Y25" s="51">
        <f t="shared" si="1"/>
        <v>211.87423974675437</v>
      </c>
      <c r="AA25">
        <f>IF(OR($C$24="",$E$24=""),0,AB25+MAX(0,_xlfn.DAYS(MIN($E$24,DATE(N25,$O25,$P25)),MAX($C$24,DATE(N25,$O25,0)))))</f>
        <v>0</v>
      </c>
      <c r="AB25" s="92">
        <f>IF(AND(MONTH($C$24)=$O25,YEAR($C$24)=N25),1,0)</f>
        <v>0</v>
      </c>
      <c r="AC25" s="45">
        <f t="shared" si="10"/>
        <v>0</v>
      </c>
      <c r="AD25" s="51">
        <f t="shared" si="2"/>
        <v>0</v>
      </c>
      <c r="AF25">
        <f t="shared" si="11"/>
        <v>0</v>
      </c>
      <c r="AG25" s="92">
        <f>IF(AND(MONTH($C$25)=$O25,YEAR($C$25)=N25),1,0)</f>
        <v>0</v>
      </c>
      <c r="AH25" s="45">
        <f t="shared" si="12"/>
        <v>0</v>
      </c>
      <c r="AI25" s="51">
        <f t="shared" si="3"/>
        <v>0</v>
      </c>
      <c r="AK25">
        <f t="shared" si="13"/>
        <v>0</v>
      </c>
      <c r="AL25" s="92">
        <f>IF(AND(MONTH($C$26)=$O25,YEAR($C$26)=N25),1,0)</f>
        <v>0</v>
      </c>
      <c r="AM25" s="45">
        <f t="shared" si="14"/>
        <v>0</v>
      </c>
      <c r="AN25" s="51">
        <f t="shared" si="4"/>
        <v>0</v>
      </c>
      <c r="AP25">
        <f t="shared" si="5"/>
        <v>31</v>
      </c>
      <c r="AQ25" s="45">
        <f t="shared" si="6"/>
        <v>6381.7542092395897</v>
      </c>
      <c r="AR25" s="51">
        <f t="shared" si="7"/>
        <v>211.87423974675437</v>
      </c>
      <c r="AS25">
        <f t="shared" si="8"/>
        <v>0</v>
      </c>
      <c r="AT25">
        <f t="shared" si="15"/>
        <v>0</v>
      </c>
    </row>
    <row r="26" spans="2:46" ht="15" thickBot="1" x14ac:dyDescent="0.4">
      <c r="B26" t="s">
        <v>29</v>
      </c>
      <c r="C26" s="14">
        <f>'Invoer aardgas'!C35</f>
        <v>0</v>
      </c>
      <c r="E26" s="14">
        <f>'Invoer aardgas'!E35</f>
        <v>0</v>
      </c>
      <c r="G26" s="14">
        <f>'Invoer aardgas'!G35</f>
        <v>0</v>
      </c>
      <c r="I26" s="18">
        <f>'Invoer aardgas'!I35</f>
        <v>0</v>
      </c>
      <c r="M26" s="46">
        <v>44287</v>
      </c>
      <c r="N26" s="49">
        <v>2021</v>
      </c>
      <c r="O26" s="47">
        <v>4</v>
      </c>
      <c r="P26" s="47">
        <v>30</v>
      </c>
      <c r="Q26" s="48">
        <v>7.2778826300000099E-2</v>
      </c>
      <c r="R26">
        <f>'Energieprijzen kmo''s'!C15</f>
        <v>3.44E-2</v>
      </c>
      <c r="S26" s="50">
        <f>'Energieprijzen kmo''s'!E15</f>
        <v>0.01</v>
      </c>
      <c r="T26" s="45">
        <f t="shared" si="0"/>
        <v>3658.4745287914166</v>
      </c>
      <c r="V26">
        <f>IF(OR($C$23="",$E$23=""),0,W26+MAX(0,_xlfn.DAYS(MIN($E$23,DATE(N26,$O26,$P26)),MAX($C$23,DATE(N26,$O26,0)))))</f>
        <v>30</v>
      </c>
      <c r="W26" s="92">
        <f>IF(AND(MONTH($C$23)=O26,YEAR($C$23)=N26),1,0)</f>
        <v>0</v>
      </c>
      <c r="X26" s="45">
        <f t="shared" si="9"/>
        <v>3658.4745287914166</v>
      </c>
      <c r="Y26" s="51">
        <f t="shared" si="1"/>
        <v>125.85152379042474</v>
      </c>
      <c r="AA26">
        <f>IF(OR($C$24="",$E$24=""),0,AB26+MAX(0,_xlfn.DAYS(MIN($E$24,DATE(N26,$O26,$P26)),MAX($C$24,DATE(N26,$O26,0)))))</f>
        <v>0</v>
      </c>
      <c r="AB26" s="92">
        <f>IF(AND(MONTH($C$24)=$O26,YEAR($C$24)=N26),1,0)</f>
        <v>0</v>
      </c>
      <c r="AC26" s="45">
        <f t="shared" si="10"/>
        <v>0</v>
      </c>
      <c r="AD26" s="51">
        <f t="shared" si="2"/>
        <v>0</v>
      </c>
      <c r="AF26">
        <f t="shared" si="11"/>
        <v>0</v>
      </c>
      <c r="AG26" s="92">
        <f>IF(AND(MONTH($C$25)=$O26,YEAR($C$25)=N26),1,0)</f>
        <v>0</v>
      </c>
      <c r="AH26" s="45">
        <f t="shared" si="12"/>
        <v>0</v>
      </c>
      <c r="AI26" s="51">
        <f t="shared" si="3"/>
        <v>0</v>
      </c>
      <c r="AK26">
        <f t="shared" si="13"/>
        <v>0</v>
      </c>
      <c r="AL26" s="92">
        <f>IF(AND(MONTH($C$26)=$O26,YEAR($C$26)=N26),1,0)</f>
        <v>0</v>
      </c>
      <c r="AM26" s="45">
        <f t="shared" si="14"/>
        <v>0</v>
      </c>
      <c r="AN26" s="51">
        <f t="shared" si="4"/>
        <v>0</v>
      </c>
      <c r="AP26">
        <f t="shared" si="5"/>
        <v>30</v>
      </c>
      <c r="AQ26" s="45">
        <f t="shared" si="6"/>
        <v>3658.4745287914166</v>
      </c>
      <c r="AR26" s="51">
        <f t="shared" si="7"/>
        <v>125.85152379042474</v>
      </c>
      <c r="AS26">
        <f t="shared" si="8"/>
        <v>0</v>
      </c>
      <c r="AT26">
        <f t="shared" si="15"/>
        <v>0</v>
      </c>
    </row>
    <row r="27" spans="2:46" x14ac:dyDescent="0.35">
      <c r="M27" s="46">
        <v>44317</v>
      </c>
      <c r="N27" s="49">
        <v>2021</v>
      </c>
      <c r="O27" s="47">
        <v>5</v>
      </c>
      <c r="P27" s="47">
        <v>31</v>
      </c>
      <c r="Q27" s="48">
        <v>4.0076028699999995E-2</v>
      </c>
      <c r="R27">
        <f>'Energieprijzen kmo''s'!C16</f>
        <v>3.56E-2</v>
      </c>
      <c r="S27" s="50">
        <f>'Energieprijzen kmo''s'!E16</f>
        <v>0.01</v>
      </c>
      <c r="T27" s="45">
        <f t="shared" si="0"/>
        <v>2014.557497941727</v>
      </c>
      <c r="V27">
        <f>IF(OR($C$23="",$E$23=""),0,W27+MAX(0,_xlfn.DAYS(MIN($E$23,DATE(N27,$O27,$P27)),MAX($C$23,DATE(N27,$O27,0)))))</f>
        <v>31</v>
      </c>
      <c r="W27" s="92">
        <f>IF(AND(MONTH($C$23)=O27,YEAR($C$23)=N27),1,0)</f>
        <v>0</v>
      </c>
      <c r="X27" s="45">
        <f t="shared" si="9"/>
        <v>2014.557497941727</v>
      </c>
      <c r="Y27" s="51">
        <f t="shared" si="1"/>
        <v>71.718246926725485</v>
      </c>
      <c r="AA27">
        <f>IF(OR($C$24="",$E$24=""),0,AB27+MAX(0,_xlfn.DAYS(MIN($E$24,DATE(N27,$O27,$P27)),MAX($C$24,DATE(N27,$O27,0)))))</f>
        <v>0</v>
      </c>
      <c r="AB27" s="92">
        <f>IF(AND(MONTH($C$24)=$O27,YEAR($C$24)=N27),1,0)</f>
        <v>0</v>
      </c>
      <c r="AC27" s="45">
        <f t="shared" si="10"/>
        <v>0</v>
      </c>
      <c r="AD27" s="51">
        <f t="shared" si="2"/>
        <v>0</v>
      </c>
      <c r="AF27">
        <f t="shared" si="11"/>
        <v>0</v>
      </c>
      <c r="AG27" s="92">
        <f>IF(AND(MONTH($C$25)=$O27,YEAR($C$25)=N27),1,0)</f>
        <v>0</v>
      </c>
      <c r="AH27" s="45">
        <f t="shared" si="12"/>
        <v>0</v>
      </c>
      <c r="AI27" s="51">
        <f t="shared" si="3"/>
        <v>0</v>
      </c>
      <c r="AK27">
        <f t="shared" si="13"/>
        <v>0</v>
      </c>
      <c r="AL27" s="92">
        <f>IF(AND(MONTH($C$26)=$O27,YEAR($C$26)=N27),1,0)</f>
        <v>0</v>
      </c>
      <c r="AM27" s="45">
        <f t="shared" si="14"/>
        <v>0</v>
      </c>
      <c r="AN27" s="51">
        <f t="shared" si="4"/>
        <v>0</v>
      </c>
      <c r="AP27">
        <f t="shared" si="5"/>
        <v>31</v>
      </c>
      <c r="AQ27" s="45">
        <f t="shared" si="6"/>
        <v>2014.557497941727</v>
      </c>
      <c r="AR27" s="51">
        <f t="shared" si="7"/>
        <v>71.718246926725485</v>
      </c>
      <c r="AS27">
        <f t="shared" si="8"/>
        <v>0</v>
      </c>
      <c r="AT27">
        <f t="shared" si="15"/>
        <v>0</v>
      </c>
    </row>
    <row r="28" spans="2:46" x14ac:dyDescent="0.35">
      <c r="C28" s="53" t="str">
        <f>IF(AS53&gt;0,"Opgelet, één of meerdere contractperiodes overlappen voor deze meter.","")</f>
        <v/>
      </c>
      <c r="D28" s="52"/>
      <c r="E28" s="52"/>
      <c r="F28" s="52"/>
      <c r="G28" s="52"/>
      <c r="H28" s="52"/>
      <c r="I28" s="52"/>
      <c r="M28" s="46">
        <v>44348</v>
      </c>
      <c r="N28" s="49">
        <v>2021</v>
      </c>
      <c r="O28" s="47">
        <v>6</v>
      </c>
      <c r="P28" s="47">
        <v>30</v>
      </c>
      <c r="Q28" s="48">
        <v>2.2356556100000015E-2</v>
      </c>
      <c r="R28">
        <f>'Energieprijzen kmo''s'!C17</f>
        <v>3.7600000000000001E-2</v>
      </c>
      <c r="S28" s="50">
        <f>'Energieprijzen kmo''s'!E17</f>
        <v>0.01</v>
      </c>
      <c r="T28" s="45">
        <f t="shared" si="0"/>
        <v>1123.8281132234515</v>
      </c>
      <c r="V28">
        <f>IF(OR($C$23="",$E$23=""),0,W28+MAX(0,_xlfn.DAYS(MIN($E$23,DATE(N28,$O28,$P28)),MAX($C$23,DATE(N28,$O28,0)))))</f>
        <v>30</v>
      </c>
      <c r="W28" s="92">
        <f>IF(AND(MONTH($C$23)=O28,YEAR($C$23)=N28),1,0)</f>
        <v>0</v>
      </c>
      <c r="X28" s="45">
        <f t="shared" si="9"/>
        <v>1123.8281132234515</v>
      </c>
      <c r="Y28" s="51">
        <f t="shared" si="1"/>
        <v>42.255937057201777</v>
      </c>
      <c r="AA28">
        <f>IF(OR($C$24="",$E$24=""),0,AB28+MAX(0,_xlfn.DAYS(MIN($E$24,DATE(N28,$O28,$P28)),MAX($C$24,DATE(N28,$O28,0)))))</f>
        <v>0</v>
      </c>
      <c r="AB28" s="92">
        <f>IF(AND(MONTH($C$24)=$O28,YEAR($C$24)=N28),1,0)</f>
        <v>0</v>
      </c>
      <c r="AC28" s="45">
        <f t="shared" si="10"/>
        <v>0</v>
      </c>
      <c r="AD28" s="51">
        <f t="shared" si="2"/>
        <v>0</v>
      </c>
      <c r="AF28">
        <f t="shared" si="11"/>
        <v>0</v>
      </c>
      <c r="AG28" s="92">
        <f>IF(AND(MONTH($C$25)=$O28,YEAR($C$25)=N28),1,0)</f>
        <v>0</v>
      </c>
      <c r="AH28" s="45">
        <f t="shared" si="12"/>
        <v>0</v>
      </c>
      <c r="AI28" s="51">
        <f t="shared" si="3"/>
        <v>0</v>
      </c>
      <c r="AK28">
        <f t="shared" si="13"/>
        <v>0</v>
      </c>
      <c r="AL28" s="92">
        <f>IF(AND(MONTH($C$26)=$O28,YEAR($C$26)=N28),1,0)</f>
        <v>0</v>
      </c>
      <c r="AM28" s="45">
        <f t="shared" si="14"/>
        <v>0</v>
      </c>
      <c r="AN28" s="51">
        <f t="shared" si="4"/>
        <v>0</v>
      </c>
      <c r="AP28">
        <f t="shared" si="5"/>
        <v>30</v>
      </c>
      <c r="AQ28" s="45">
        <f t="shared" si="6"/>
        <v>1123.8281132234515</v>
      </c>
      <c r="AR28" s="51">
        <f t="shared" si="7"/>
        <v>42.255937057201777</v>
      </c>
      <c r="AS28">
        <f t="shared" si="8"/>
        <v>0</v>
      </c>
      <c r="AT28">
        <f t="shared" si="15"/>
        <v>0</v>
      </c>
    </row>
    <row r="29" spans="2:46" x14ac:dyDescent="0.35">
      <c r="C29" s="52" t="str">
        <f>IF(AT54&gt;0,"De contracten omvatten niet de volledige periode van 1/1/2021 t.e.m. 31/03/2023.","")</f>
        <v/>
      </c>
      <c r="D29" s="52"/>
      <c r="E29" s="52"/>
      <c r="F29" s="52"/>
      <c r="G29" s="52"/>
      <c r="H29" s="52"/>
      <c r="I29" s="52"/>
      <c r="M29" s="46">
        <v>44378</v>
      </c>
      <c r="N29" s="49">
        <v>2021</v>
      </c>
      <c r="O29" s="47">
        <v>7</v>
      </c>
      <c r="P29" s="47">
        <v>31</v>
      </c>
      <c r="Q29" s="48">
        <v>2.08430384E-2</v>
      </c>
      <c r="R29">
        <f>'Energieprijzen kmo''s'!C18</f>
        <v>4.5100000000000001E-2</v>
      </c>
      <c r="S29" s="50">
        <f>'Energieprijzen kmo''s'!E18</f>
        <v>0.01</v>
      </c>
      <c r="T29" s="45">
        <f t="shared" si="0"/>
        <v>1047.7460130326572</v>
      </c>
      <c r="V29">
        <f>IF(OR($C$23="",$E$23=""),0,W29+MAX(0,_xlfn.DAYS(MIN($E$23,DATE(N29,$O29,$P29)),MAX($C$23,DATE(N29,$O29,0)))))</f>
        <v>31</v>
      </c>
      <c r="W29" s="92">
        <f>IF(AND(MONTH($C$23)=O29,YEAR($C$23)=N29),1,0)</f>
        <v>0</v>
      </c>
      <c r="X29" s="45">
        <f t="shared" si="9"/>
        <v>1047.7460130326572</v>
      </c>
      <c r="Y29" s="51">
        <f t="shared" si="1"/>
        <v>47.253345187772837</v>
      </c>
      <c r="AA29">
        <f>IF(OR($C$24="",$E$24=""),0,AB29+MAX(0,_xlfn.DAYS(MIN($E$24,DATE(N29,$O29,$P29)),MAX($C$24,DATE(N29,$O29,0)))))</f>
        <v>0</v>
      </c>
      <c r="AB29" s="92">
        <f>IF(AND(MONTH($C$24)=$O29,YEAR($C$24)=N29),1,0)</f>
        <v>0</v>
      </c>
      <c r="AC29" s="45">
        <f t="shared" si="10"/>
        <v>0</v>
      </c>
      <c r="AD29" s="51">
        <f t="shared" si="2"/>
        <v>0</v>
      </c>
      <c r="AF29">
        <f t="shared" si="11"/>
        <v>0</v>
      </c>
      <c r="AG29" s="92">
        <f>IF(AND(MONTH($C$25)=$O29,YEAR($C$25)=N29),1,0)</f>
        <v>0</v>
      </c>
      <c r="AH29" s="45">
        <f t="shared" si="12"/>
        <v>0</v>
      </c>
      <c r="AI29" s="51">
        <f t="shared" si="3"/>
        <v>0</v>
      </c>
      <c r="AK29">
        <f t="shared" si="13"/>
        <v>0</v>
      </c>
      <c r="AL29" s="92">
        <f>IF(AND(MONTH($C$26)=$O29,YEAR($C$26)=N29),1,0)</f>
        <v>0</v>
      </c>
      <c r="AM29" s="45">
        <f t="shared" si="14"/>
        <v>0</v>
      </c>
      <c r="AN29" s="51">
        <f t="shared" si="4"/>
        <v>0</v>
      </c>
      <c r="AP29">
        <f t="shared" si="5"/>
        <v>31</v>
      </c>
      <c r="AQ29" s="45">
        <f t="shared" si="6"/>
        <v>1047.7460130326572</v>
      </c>
      <c r="AR29" s="51">
        <f t="shared" si="7"/>
        <v>47.253345187772837</v>
      </c>
      <c r="AS29">
        <f t="shared" si="8"/>
        <v>0</v>
      </c>
      <c r="AT29">
        <f t="shared" si="15"/>
        <v>0</v>
      </c>
    </row>
    <row r="30" spans="2:46" x14ac:dyDescent="0.35">
      <c r="E30" s="12"/>
      <c r="M30" s="46">
        <v>44409</v>
      </c>
      <c r="N30" s="49">
        <v>2021</v>
      </c>
      <c r="O30" s="47">
        <v>8</v>
      </c>
      <c r="P30" s="47">
        <v>31</v>
      </c>
      <c r="Q30" s="48">
        <v>2.082444960000001E-2</v>
      </c>
      <c r="R30">
        <f>'Energieprijzen kmo''s'!C19</f>
        <v>4.8099999999999997E-2</v>
      </c>
      <c r="S30" s="50">
        <f>'Energieprijzen kmo''s'!E19</f>
        <v>0.01</v>
      </c>
      <c r="T30" s="45">
        <f t="shared" si="0"/>
        <v>1046.8115839579091</v>
      </c>
      <c r="V30">
        <f>IF(OR($C$23="",$E$23=""),0,W30+MAX(0,_xlfn.DAYS(MIN($E$23,DATE(N30,$O30,$P30)),MAX($C$23,DATE(N30,$O30,0)))))</f>
        <v>31</v>
      </c>
      <c r="W30" s="92">
        <f>IF(AND(MONTH($C$23)=O30,YEAR($C$23)=N30),1,0)</f>
        <v>0</v>
      </c>
      <c r="X30" s="45">
        <f t="shared" si="9"/>
        <v>1046.8115839579091</v>
      </c>
      <c r="Y30" s="51">
        <f t="shared" si="1"/>
        <v>50.35163718837542</v>
      </c>
      <c r="AA30">
        <f>IF(OR($C$24="",$E$24=""),0,AB30+MAX(0,_xlfn.DAYS(MIN($E$24,DATE(N30,$O30,$P30)),MAX($C$24,DATE(N30,$O30,0)))))</f>
        <v>0</v>
      </c>
      <c r="AB30" s="92">
        <f>IF(AND(MONTH($C$24)=$O30,YEAR($C$24)=N30),1,0)</f>
        <v>0</v>
      </c>
      <c r="AC30" s="45">
        <f t="shared" si="10"/>
        <v>0</v>
      </c>
      <c r="AD30" s="51">
        <f t="shared" si="2"/>
        <v>0</v>
      </c>
      <c r="AF30">
        <f t="shared" si="11"/>
        <v>0</v>
      </c>
      <c r="AG30" s="92">
        <f>IF(AND(MONTH($C$25)=$O30,YEAR($C$25)=N30),1,0)</f>
        <v>0</v>
      </c>
      <c r="AH30" s="45">
        <f t="shared" si="12"/>
        <v>0</v>
      </c>
      <c r="AI30" s="51">
        <f t="shared" si="3"/>
        <v>0</v>
      </c>
      <c r="AK30">
        <f t="shared" si="13"/>
        <v>0</v>
      </c>
      <c r="AL30" s="92">
        <f>IF(AND(MONTH($C$26)=$O30,YEAR($C$26)=N30),1,0)</f>
        <v>0</v>
      </c>
      <c r="AM30" s="45">
        <f t="shared" si="14"/>
        <v>0</v>
      </c>
      <c r="AN30" s="51">
        <f t="shared" si="4"/>
        <v>0</v>
      </c>
      <c r="AP30">
        <f t="shared" si="5"/>
        <v>31</v>
      </c>
      <c r="AQ30" s="45">
        <f t="shared" si="6"/>
        <v>1046.8115839579091</v>
      </c>
      <c r="AR30" s="51">
        <f t="shared" si="7"/>
        <v>50.35163718837542</v>
      </c>
      <c r="AS30">
        <f t="shared" si="8"/>
        <v>0</v>
      </c>
      <c r="AT30">
        <f t="shared" si="15"/>
        <v>0</v>
      </c>
    </row>
    <row r="31" spans="2:46" x14ac:dyDescent="0.35">
      <c r="E31" s="12"/>
      <c r="M31" s="46">
        <v>44440</v>
      </c>
      <c r="N31" s="49">
        <v>2021</v>
      </c>
      <c r="O31" s="47">
        <v>9</v>
      </c>
      <c r="P31" s="47">
        <v>30</v>
      </c>
      <c r="Q31" s="48">
        <v>2.7188076700000015E-2</v>
      </c>
      <c r="R31">
        <f>'Energieprijzen kmo''s'!C20</f>
        <v>5.1500000000000004E-2</v>
      </c>
      <c r="S31" s="50">
        <f>'Energieprijzen kmo''s'!E20</f>
        <v>0.01</v>
      </c>
      <c r="T31" s="45">
        <f t="shared" si="0"/>
        <v>1366.7008819813477</v>
      </c>
      <c r="V31">
        <f>IF(OR($C$23="",$E$23=""),0,W31+MAX(0,_xlfn.DAYS(MIN($E$23,DATE(N31,$O31,$P31)),MAX($C$23,DATE(N31,$O31,0)))))</f>
        <v>30</v>
      </c>
      <c r="W31" s="92">
        <f>IF(AND(MONTH($C$23)=O31,YEAR($C$23)=N31),1,0)</f>
        <v>0</v>
      </c>
      <c r="X31" s="45">
        <f t="shared" si="9"/>
        <v>1366.7008819813477</v>
      </c>
      <c r="Y31" s="51">
        <f t="shared" si="1"/>
        <v>70.385095422039413</v>
      </c>
      <c r="AA31">
        <f>IF(OR($C$24="",$E$24=""),0,AB31+MAX(0,_xlfn.DAYS(MIN($E$24,DATE(N31,$O31,$P31)),MAX($C$24,DATE(N31,$O31,0)))))</f>
        <v>0</v>
      </c>
      <c r="AB31" s="92">
        <f>IF(AND(MONTH($C$24)=$O31,YEAR($C$24)=N31),1,0)</f>
        <v>0</v>
      </c>
      <c r="AC31" s="45">
        <f t="shared" si="10"/>
        <v>0</v>
      </c>
      <c r="AD31" s="51">
        <f t="shared" si="2"/>
        <v>0</v>
      </c>
      <c r="AF31">
        <f t="shared" si="11"/>
        <v>0</v>
      </c>
      <c r="AG31" s="92">
        <f>IF(AND(MONTH($C$25)=$O31,YEAR($C$25)=N31),1,0)</f>
        <v>0</v>
      </c>
      <c r="AH31" s="45">
        <f t="shared" si="12"/>
        <v>0</v>
      </c>
      <c r="AI31" s="51">
        <f t="shared" si="3"/>
        <v>0</v>
      </c>
      <c r="AK31">
        <f t="shared" si="13"/>
        <v>0</v>
      </c>
      <c r="AL31" s="92">
        <f>IF(AND(MONTH($C$26)=$O31,YEAR($C$26)=N31),1,0)</f>
        <v>0</v>
      </c>
      <c r="AM31" s="45">
        <f t="shared" si="14"/>
        <v>0</v>
      </c>
      <c r="AN31" s="51">
        <f t="shared" si="4"/>
        <v>0</v>
      </c>
      <c r="AP31">
        <f t="shared" si="5"/>
        <v>30</v>
      </c>
      <c r="AQ31" s="45">
        <f t="shared" si="6"/>
        <v>1366.7008819813477</v>
      </c>
      <c r="AR31" s="51">
        <f t="shared" si="7"/>
        <v>70.385095422039413</v>
      </c>
      <c r="AS31">
        <f t="shared" si="8"/>
        <v>0</v>
      </c>
      <c r="AT31">
        <f t="shared" si="15"/>
        <v>0</v>
      </c>
    </row>
    <row r="32" spans="2:46" x14ac:dyDescent="0.35">
      <c r="M32" s="46">
        <v>44470</v>
      </c>
      <c r="N32" s="49">
        <v>2021</v>
      </c>
      <c r="O32" s="47">
        <v>10</v>
      </c>
      <c r="P32" s="47">
        <v>31</v>
      </c>
      <c r="Q32" s="48">
        <v>6.2766286199999938E-2</v>
      </c>
      <c r="R32">
        <f>'Energieprijzen kmo''s'!C21</f>
        <v>7.8399999999999997E-2</v>
      </c>
      <c r="S32" s="50">
        <f>'Energieprijzen kmo''s'!E21</f>
        <v>0.01</v>
      </c>
      <c r="T32" s="45">
        <f t="shared" si="0"/>
        <v>3155.1602437635306</v>
      </c>
      <c r="V32">
        <f>IF(OR($C$23="",$E$23=""),0,W32+MAX(0,_xlfn.DAYS(MIN($E$23,DATE(N32,$O32,$P32)),MAX($C$23,DATE(N32,$O32,0)))))</f>
        <v>31</v>
      </c>
      <c r="W32" s="92">
        <f>IF(AND(MONTH($C$23)=O32,YEAR($C$23)=N32),1,0)</f>
        <v>0</v>
      </c>
      <c r="X32" s="45">
        <f t="shared" si="9"/>
        <v>3155.1602437635306</v>
      </c>
      <c r="Y32" s="51">
        <f t="shared" si="1"/>
        <v>247.36456311106079</v>
      </c>
      <c r="AA32">
        <f>IF(OR($C$24="",$E$24=""),0,AB32+MAX(0,_xlfn.DAYS(MIN($E$24,DATE(N32,$O32,$P32)),MAX($C$24,DATE(N32,$O32,0)))))</f>
        <v>0</v>
      </c>
      <c r="AB32" s="92">
        <f>IF(AND(MONTH($C$24)=$O32,YEAR($C$24)=N32),1,0)</f>
        <v>0</v>
      </c>
      <c r="AC32" s="45">
        <f t="shared" si="10"/>
        <v>0</v>
      </c>
      <c r="AD32" s="51">
        <f t="shared" si="2"/>
        <v>0</v>
      </c>
      <c r="AF32">
        <f t="shared" si="11"/>
        <v>0</v>
      </c>
      <c r="AG32" s="92">
        <f>IF(AND(MONTH($C$25)=$O32,YEAR($C$25)=N32),1,0)</f>
        <v>0</v>
      </c>
      <c r="AH32" s="45">
        <f t="shared" si="12"/>
        <v>0</v>
      </c>
      <c r="AI32" s="51">
        <f t="shared" si="3"/>
        <v>0</v>
      </c>
      <c r="AK32">
        <f t="shared" si="13"/>
        <v>0</v>
      </c>
      <c r="AL32" s="92">
        <f>IF(AND(MONTH($C$26)=$O32,YEAR($C$26)=N32),1,0)</f>
        <v>0</v>
      </c>
      <c r="AM32" s="45">
        <f t="shared" si="14"/>
        <v>0</v>
      </c>
      <c r="AN32" s="51">
        <f t="shared" si="4"/>
        <v>0</v>
      </c>
      <c r="AP32">
        <f t="shared" si="5"/>
        <v>31</v>
      </c>
      <c r="AQ32" s="45">
        <f t="shared" si="6"/>
        <v>3155.1602437635306</v>
      </c>
      <c r="AR32" s="51">
        <f t="shared" si="7"/>
        <v>247.36456311106079</v>
      </c>
      <c r="AS32">
        <f t="shared" si="8"/>
        <v>0</v>
      </c>
      <c r="AT32">
        <f t="shared" si="15"/>
        <v>0</v>
      </c>
    </row>
    <row r="33" spans="13:46" x14ac:dyDescent="0.35">
      <c r="M33" s="46">
        <v>44501</v>
      </c>
      <c r="N33" s="49">
        <v>2021</v>
      </c>
      <c r="O33" s="47">
        <v>11</v>
      </c>
      <c r="P33" s="47">
        <v>30</v>
      </c>
      <c r="Q33" s="48">
        <v>0.11483429059999996</v>
      </c>
      <c r="R33">
        <f>'Energieprijzen kmo''s'!C22</f>
        <v>8.7599999999999997E-2</v>
      </c>
      <c r="S33" s="50">
        <f>'Energieprijzen kmo''s'!E22</f>
        <v>0.01</v>
      </c>
      <c r="T33" s="45">
        <f t="shared" si="0"/>
        <v>5772.535070298748</v>
      </c>
      <c r="V33">
        <f>IF(OR($C$23="",$E$23=""),0,W33+MAX(0,_xlfn.DAYS(MIN($E$23,DATE(N33,$O33,$P33)),MAX($C$23,DATE(N33,$O33,0)))))</f>
        <v>30</v>
      </c>
      <c r="W33" s="92">
        <f>IF(AND(MONTH($C$23)=O33,YEAR($C$23)=N33),1,0)</f>
        <v>0</v>
      </c>
      <c r="X33" s="45">
        <f t="shared" si="9"/>
        <v>5772.535070298748</v>
      </c>
      <c r="Y33" s="51">
        <f t="shared" si="1"/>
        <v>505.6740721581703</v>
      </c>
      <c r="AA33">
        <f>IF(OR($C$24="",$E$24=""),0,AB33+MAX(0,_xlfn.DAYS(MIN($E$24,DATE(N33,$O33,$P33)),MAX($C$24,DATE(N33,$O33,0)))))</f>
        <v>0</v>
      </c>
      <c r="AB33" s="92">
        <f>IF(AND(MONTH($C$24)=$O33,YEAR($C$24)=N33),1,0)</f>
        <v>0</v>
      </c>
      <c r="AC33" s="45">
        <f t="shared" si="10"/>
        <v>0</v>
      </c>
      <c r="AD33" s="51">
        <f t="shared" si="2"/>
        <v>0</v>
      </c>
      <c r="AF33">
        <f t="shared" si="11"/>
        <v>0</v>
      </c>
      <c r="AG33" s="92">
        <f>IF(AND(MONTH($C$25)=$O33,YEAR($C$25)=N33),1,0)</f>
        <v>0</v>
      </c>
      <c r="AH33" s="45">
        <f t="shared" si="12"/>
        <v>0</v>
      </c>
      <c r="AI33" s="51">
        <f t="shared" si="3"/>
        <v>0</v>
      </c>
      <c r="AK33">
        <f t="shared" si="13"/>
        <v>0</v>
      </c>
      <c r="AL33" s="92">
        <f>IF(AND(MONTH($C$26)=$O33,YEAR($C$26)=N33),1,0)</f>
        <v>0</v>
      </c>
      <c r="AM33" s="45">
        <f t="shared" si="14"/>
        <v>0</v>
      </c>
      <c r="AN33" s="51">
        <f t="shared" si="4"/>
        <v>0</v>
      </c>
      <c r="AP33">
        <f t="shared" si="5"/>
        <v>30</v>
      </c>
      <c r="AQ33" s="45">
        <f t="shared" si="6"/>
        <v>5772.535070298748</v>
      </c>
      <c r="AR33" s="51">
        <f t="shared" si="7"/>
        <v>505.6740721581703</v>
      </c>
      <c r="AS33">
        <f t="shared" si="8"/>
        <v>0</v>
      </c>
      <c r="AT33">
        <f t="shared" si="15"/>
        <v>0</v>
      </c>
    </row>
    <row r="34" spans="13:46" x14ac:dyDescent="0.35">
      <c r="M34" s="46">
        <v>44531</v>
      </c>
      <c r="N34" s="49">
        <v>2021</v>
      </c>
      <c r="O34" s="47">
        <v>12</v>
      </c>
      <c r="P34" s="47">
        <v>31</v>
      </c>
      <c r="Q34" s="48">
        <v>0.16004607779999999</v>
      </c>
      <c r="R34">
        <f>'Energieprijzen kmo''s'!C23</f>
        <v>8.7300000000000003E-2</v>
      </c>
      <c r="S34" s="50">
        <f>'Energieprijzen kmo''s'!E23</f>
        <v>0.01</v>
      </c>
      <c r="T34" s="45">
        <f t="shared" si="0"/>
        <v>8045.2588868456169</v>
      </c>
      <c r="V34">
        <f>IF(OR($C$23="",$E$23=""),0,W34+MAX(0,_xlfn.DAYS(MIN($E$23,DATE(N34,$O34,$P34)),MAX($C$23,DATE(N34,$O34,0)))))</f>
        <v>31</v>
      </c>
      <c r="W34" s="92">
        <f>IF(AND(MONTH($C$23)=O34,YEAR($C$23)=N34),1,0)</f>
        <v>0</v>
      </c>
      <c r="X34" s="45">
        <f t="shared" si="9"/>
        <v>8045.2588868456169</v>
      </c>
      <c r="Y34" s="51">
        <f t="shared" si="1"/>
        <v>702.35110082162237</v>
      </c>
      <c r="AA34">
        <f>IF(OR($C$24="",$E$24=""),0,AB34+MAX(0,_xlfn.DAYS(MIN($E$24,DATE(N34,$O34,$P34)),MAX($C$24,DATE(N34,$O34,0)))))</f>
        <v>0</v>
      </c>
      <c r="AB34" s="92">
        <f>IF(AND(MONTH($C$24)=$O34,YEAR($C$24)=N34),1,0)</f>
        <v>0</v>
      </c>
      <c r="AC34" s="45">
        <f t="shared" si="10"/>
        <v>0</v>
      </c>
      <c r="AD34" s="51">
        <f t="shared" si="2"/>
        <v>0</v>
      </c>
      <c r="AF34">
        <f t="shared" si="11"/>
        <v>0</v>
      </c>
      <c r="AG34" s="92">
        <f>IF(AND(MONTH($C$25)=$O34,YEAR($C$25)=N34),1,0)</f>
        <v>0</v>
      </c>
      <c r="AH34" s="45">
        <f t="shared" si="12"/>
        <v>0</v>
      </c>
      <c r="AI34" s="51">
        <f t="shared" si="3"/>
        <v>0</v>
      </c>
      <c r="AK34">
        <f t="shared" si="13"/>
        <v>0</v>
      </c>
      <c r="AL34" s="92">
        <f>IF(AND(MONTH($C$26)=$O34,YEAR($C$26)=N34),1,0)</f>
        <v>0</v>
      </c>
      <c r="AM34" s="45">
        <f t="shared" si="14"/>
        <v>0</v>
      </c>
      <c r="AN34" s="51">
        <f t="shared" si="4"/>
        <v>0</v>
      </c>
      <c r="AP34">
        <f t="shared" si="5"/>
        <v>31</v>
      </c>
      <c r="AQ34" s="45">
        <f t="shared" si="6"/>
        <v>8045.2588868456169</v>
      </c>
      <c r="AR34" s="51">
        <f t="shared" si="7"/>
        <v>702.35110082162237</v>
      </c>
      <c r="AS34">
        <f t="shared" si="8"/>
        <v>0</v>
      </c>
      <c r="AT34">
        <f t="shared" si="15"/>
        <v>0</v>
      </c>
    </row>
    <row r="35" spans="13:46" x14ac:dyDescent="0.35">
      <c r="M35" s="46">
        <v>44562</v>
      </c>
      <c r="N35" s="49">
        <v>2022</v>
      </c>
      <c r="O35" s="47">
        <v>1</v>
      </c>
      <c r="P35" s="47">
        <v>31</v>
      </c>
      <c r="Q35" s="48">
        <v>0.17982027080000254</v>
      </c>
      <c r="R35">
        <f>'Energieprijzen kmo''s'!C24</f>
        <v>0.12429999999999999</v>
      </c>
      <c r="S35" s="50">
        <f>'Energieprijzen kmo''s'!E24</f>
        <v>9.4999999999999998E-3</v>
      </c>
      <c r="T35" s="45">
        <f t="shared" si="0"/>
        <v>9039.2757609253076</v>
      </c>
      <c r="V35">
        <f>IF(OR($C$23="",$E$23=""),0,W35+MAX(0,_xlfn.DAYS(MIN($E$23,DATE(N35,$O35,$P35)),MAX($C$23,DATE(N35,$O35,0)))))</f>
        <v>31</v>
      </c>
      <c r="W35" s="92">
        <f>IF(AND(MONTH($C$23)=O35,YEAR($C$23)=N35),1,0)</f>
        <v>0</v>
      </c>
      <c r="X35" s="45">
        <f t="shared" si="9"/>
        <v>9039.2757609253076</v>
      </c>
      <c r="Y35" s="51">
        <f t="shared" si="1"/>
        <v>1123.5819770830158</v>
      </c>
      <c r="AA35">
        <f>IF(OR($C$24="",$E$24=""),0,AB35+MAX(0,_xlfn.DAYS(MIN($E$24,DATE(N35,$O35,$P35)),MAX($C$24,DATE(N35,$O35,0)))))</f>
        <v>0</v>
      </c>
      <c r="AB35" s="92">
        <f>IF(AND(MONTH($C$24)=$O35,YEAR($C$24)=N35),1,0)</f>
        <v>0</v>
      </c>
      <c r="AC35" s="45">
        <f t="shared" ref="AC35:AC43" si="16">AA35/$P35*$T35</f>
        <v>0</v>
      </c>
      <c r="AD35" s="51">
        <f t="shared" si="2"/>
        <v>0</v>
      </c>
      <c r="AF35">
        <f t="shared" si="11"/>
        <v>0</v>
      </c>
      <c r="AG35" s="92">
        <f>IF(AND(MONTH($C$25)=$O35,YEAR($C$25)=N35),1,0)</f>
        <v>0</v>
      </c>
      <c r="AH35" s="45">
        <f t="shared" ref="AH35:AH43" si="17">AF35/$P35*$T35</f>
        <v>0</v>
      </c>
      <c r="AI35" s="51">
        <f t="shared" si="3"/>
        <v>0</v>
      </c>
      <c r="AK35">
        <f t="shared" si="13"/>
        <v>0</v>
      </c>
      <c r="AL35" s="92">
        <f>IF(AND(MONTH($C$26)=$O35,YEAR($C$26)=N35),1,0)</f>
        <v>0</v>
      </c>
      <c r="AM35" s="45">
        <f t="shared" ref="AM35:AM43" si="18">AK35/$P35*$T35</f>
        <v>0</v>
      </c>
      <c r="AN35" s="51">
        <f t="shared" si="4"/>
        <v>0</v>
      </c>
      <c r="AP35">
        <f t="shared" si="5"/>
        <v>31</v>
      </c>
      <c r="AQ35" s="45">
        <f t="shared" ref="AQ35:AQ43" si="19">AM35+AH35+AC35+X35</f>
        <v>9039.2757609253076</v>
      </c>
      <c r="AR35" s="51">
        <f t="shared" ref="AR35:AR43" si="20">AN35+AI35+AD35+Y35</f>
        <v>1123.5819770830158</v>
      </c>
      <c r="AS35">
        <f t="shared" si="8"/>
        <v>0</v>
      </c>
      <c r="AT35">
        <f t="shared" si="15"/>
        <v>0</v>
      </c>
    </row>
    <row r="36" spans="13:46" x14ac:dyDescent="0.35">
      <c r="M36" s="46">
        <v>44593</v>
      </c>
      <c r="N36" s="49">
        <v>2022</v>
      </c>
      <c r="O36" s="47">
        <v>2</v>
      </c>
      <c r="P36" s="47">
        <v>28</v>
      </c>
      <c r="Q36" s="48">
        <v>0.15151247989999983</v>
      </c>
      <c r="R36">
        <f>'Energieprijzen kmo''s'!C25</f>
        <v>0.11269999999999999</v>
      </c>
      <c r="S36" s="50">
        <f>'Energieprijzen kmo''s'!E25</f>
        <v>9.4999999999999998E-3</v>
      </c>
      <c r="T36" s="45">
        <f t="shared" si="0"/>
        <v>7616.2886472403861</v>
      </c>
      <c r="V36">
        <f>IF(OR($C$23="",$E$23=""),0,W36+MAX(0,_xlfn.DAYS(MIN($E$23,DATE(N36,$O36,$P36)),MAX($C$23,DATE(N36,$O36,0)))))</f>
        <v>28</v>
      </c>
      <c r="W36" s="92">
        <f>IF(AND(MONTH($C$23)=O36,YEAR($C$23)=N36),1,0)</f>
        <v>0</v>
      </c>
      <c r="X36" s="45">
        <f t="shared" si="9"/>
        <v>7616.2886472403861</v>
      </c>
      <c r="Y36" s="51">
        <f t="shared" si="1"/>
        <v>858.35573054399151</v>
      </c>
      <c r="AA36">
        <f>IF(OR($C$24="",$E$24=""),0,AB36+MAX(0,_xlfn.DAYS(MIN($E$24,DATE(N36,$O36,$P36)),MAX($C$24,DATE(N36,$O36,0)))))</f>
        <v>0</v>
      </c>
      <c r="AB36" s="92">
        <f>IF(AND(MONTH($C$24)=$O36,YEAR($C$24)=N36),1,0)</f>
        <v>0</v>
      </c>
      <c r="AC36" s="45">
        <f t="shared" si="16"/>
        <v>0</v>
      </c>
      <c r="AD36" s="51">
        <f t="shared" si="2"/>
        <v>0</v>
      </c>
      <c r="AF36">
        <f t="shared" si="11"/>
        <v>0</v>
      </c>
      <c r="AG36" s="92">
        <f>IF(AND(MONTH($C$25)=$O36,YEAR($C$25)=N36),1,0)</f>
        <v>0</v>
      </c>
      <c r="AH36" s="45">
        <f t="shared" si="17"/>
        <v>0</v>
      </c>
      <c r="AI36" s="51">
        <f t="shared" si="3"/>
        <v>0</v>
      </c>
      <c r="AK36">
        <f t="shared" si="13"/>
        <v>0</v>
      </c>
      <c r="AL36" s="92">
        <f>IF(AND(MONTH($C$26)=$O36,YEAR($C$26)=N36),1,0)</f>
        <v>0</v>
      </c>
      <c r="AM36" s="45">
        <f t="shared" si="18"/>
        <v>0</v>
      </c>
      <c r="AN36" s="51">
        <f t="shared" si="4"/>
        <v>0</v>
      </c>
      <c r="AP36">
        <f t="shared" si="5"/>
        <v>28</v>
      </c>
      <c r="AQ36" s="45">
        <f t="shared" si="19"/>
        <v>7616.2886472403861</v>
      </c>
      <c r="AR36" s="51">
        <f t="shared" si="20"/>
        <v>858.35573054399151</v>
      </c>
      <c r="AS36">
        <f t="shared" si="8"/>
        <v>0</v>
      </c>
      <c r="AT36">
        <f t="shared" si="15"/>
        <v>0</v>
      </c>
    </row>
    <row r="37" spans="13:46" x14ac:dyDescent="0.35">
      <c r="M37" s="46">
        <v>44621</v>
      </c>
      <c r="N37" s="49">
        <v>2022</v>
      </c>
      <c r="O37" s="47">
        <v>3</v>
      </c>
      <c r="P37" s="47">
        <v>31</v>
      </c>
      <c r="Q37" s="48">
        <v>0.12695361890000001</v>
      </c>
      <c r="R37">
        <f>'Energieprijzen kmo''s'!C26</f>
        <v>0.1116</v>
      </c>
      <c r="S37" s="50">
        <f>'Energieprijzen kmo''s'!E26</f>
        <v>9.4999999999999998E-3</v>
      </c>
      <c r="T37" s="45">
        <f t="shared" si="0"/>
        <v>6381.7542092395897</v>
      </c>
      <c r="V37">
        <f>IF(OR($C$23="",$E$23=""),0,W37+MAX(0,_xlfn.DAYS(MIN($E$23,DATE(N37,$O37,$P37)),MAX($C$23,DATE(N37,$O37,0)))))</f>
        <v>31</v>
      </c>
      <c r="W37" s="92">
        <f>IF(AND(MONTH($C$23)=O37,YEAR($C$23)=N37),1,0)</f>
        <v>0</v>
      </c>
      <c r="X37" s="45">
        <f t="shared" si="9"/>
        <v>6381.7542092395897</v>
      </c>
      <c r="Y37" s="51">
        <f t="shared" si="1"/>
        <v>712.20376975113822</v>
      </c>
      <c r="AA37">
        <f>IF(OR($C$24="",$E$24=""),0,AB37+MAX(0,_xlfn.DAYS(MIN($E$24,DATE(N37,$O37,$P37)),MAX($C$24,DATE(N37,$O37,0)))))</f>
        <v>0</v>
      </c>
      <c r="AB37" s="92">
        <f>IF(AND(MONTH($C$24)=$O37,YEAR($C$24)=N37),1,0)</f>
        <v>0</v>
      </c>
      <c r="AC37" s="45">
        <f t="shared" si="16"/>
        <v>0</v>
      </c>
      <c r="AD37" s="51">
        <f t="shared" si="2"/>
        <v>0</v>
      </c>
      <c r="AF37">
        <f t="shared" si="11"/>
        <v>0</v>
      </c>
      <c r="AG37" s="92">
        <f>IF(AND(MONTH($C$25)=$O37,YEAR($C$25)=N37),1,0)</f>
        <v>0</v>
      </c>
      <c r="AH37" s="45">
        <f t="shared" si="17"/>
        <v>0</v>
      </c>
      <c r="AI37" s="51">
        <f t="shared" si="3"/>
        <v>0</v>
      </c>
      <c r="AK37">
        <f t="shared" si="13"/>
        <v>0</v>
      </c>
      <c r="AL37" s="92">
        <f>IF(AND(MONTH($C$26)=$O37,YEAR($C$26)=N37),1,0)</f>
        <v>0</v>
      </c>
      <c r="AM37" s="45">
        <f t="shared" si="18"/>
        <v>0</v>
      </c>
      <c r="AN37" s="51">
        <f t="shared" si="4"/>
        <v>0</v>
      </c>
      <c r="AP37">
        <f t="shared" si="5"/>
        <v>31</v>
      </c>
      <c r="AQ37" s="45">
        <f t="shared" si="19"/>
        <v>6381.7542092395897</v>
      </c>
      <c r="AR37" s="51">
        <f t="shared" si="20"/>
        <v>712.20376975113822</v>
      </c>
      <c r="AS37">
        <f t="shared" si="8"/>
        <v>0</v>
      </c>
      <c r="AT37">
        <f t="shared" si="15"/>
        <v>0</v>
      </c>
    </row>
    <row r="38" spans="13:46" x14ac:dyDescent="0.35">
      <c r="M38" s="46">
        <v>44652</v>
      </c>
      <c r="N38" s="49">
        <v>2022</v>
      </c>
      <c r="O38" s="47">
        <v>4</v>
      </c>
      <c r="P38" s="47">
        <v>30</v>
      </c>
      <c r="Q38" s="48">
        <v>7.2778826300000099E-2</v>
      </c>
      <c r="R38">
        <f>'Energieprijzen kmo''s'!C27</f>
        <v>0.13900000000000001</v>
      </c>
      <c r="S38" s="50">
        <f>'Energieprijzen kmo''s'!E27</f>
        <v>9.4999999999999998E-3</v>
      </c>
      <c r="T38" s="45">
        <f t="shared" si="0"/>
        <v>3658.4745287914166</v>
      </c>
      <c r="V38">
        <f>IF(OR($C$23="",$E$23=""),0,W38+MAX(0,_xlfn.DAYS(MIN($E$23,DATE(N38,$O38,$P38)),MAX($C$23,DATE(N38,$O38,0)))))</f>
        <v>30</v>
      </c>
      <c r="W38" s="92">
        <f>IF(AND(MONTH($C$23)=O38,YEAR($C$23)=N38),1,0)</f>
        <v>0</v>
      </c>
      <c r="X38" s="45">
        <f t="shared" si="9"/>
        <v>3658.4745287914166</v>
      </c>
      <c r="Y38" s="51">
        <f t="shared" si="1"/>
        <v>508.52795950200692</v>
      </c>
      <c r="AA38">
        <f>IF(OR($C$24="",$E$24=""),0,AB38+MAX(0,_xlfn.DAYS(MIN($E$24,DATE(N38,$O38,$P38)),MAX($C$24,DATE(N38,$O38,0)))))</f>
        <v>0</v>
      </c>
      <c r="AB38" s="92">
        <f>IF(AND(MONTH($C$24)=$O38,YEAR($C$24)=N38),1,0)</f>
        <v>0</v>
      </c>
      <c r="AC38" s="45">
        <f t="shared" si="16"/>
        <v>0</v>
      </c>
      <c r="AD38" s="51">
        <f t="shared" si="2"/>
        <v>0</v>
      </c>
      <c r="AF38">
        <f t="shared" si="11"/>
        <v>0</v>
      </c>
      <c r="AG38" s="92">
        <f>IF(AND(MONTH($C$25)=$O38,YEAR($C$25)=N38),1,0)</f>
        <v>0</v>
      </c>
      <c r="AH38" s="45">
        <f t="shared" si="17"/>
        <v>0</v>
      </c>
      <c r="AI38" s="51">
        <f t="shared" si="3"/>
        <v>0</v>
      </c>
      <c r="AK38">
        <f t="shared" si="13"/>
        <v>0</v>
      </c>
      <c r="AL38" s="92">
        <f>IF(AND(MONTH($C$26)=$O38,YEAR($C$26)=N38),1,0)</f>
        <v>0</v>
      </c>
      <c r="AM38" s="45">
        <f t="shared" si="18"/>
        <v>0</v>
      </c>
      <c r="AN38" s="51">
        <f t="shared" si="4"/>
        <v>0</v>
      </c>
      <c r="AP38">
        <f t="shared" si="5"/>
        <v>30</v>
      </c>
      <c r="AQ38" s="45">
        <f t="shared" si="19"/>
        <v>3658.4745287914166</v>
      </c>
      <c r="AR38" s="51">
        <f t="shared" si="20"/>
        <v>508.52795950200692</v>
      </c>
      <c r="AS38">
        <f t="shared" si="8"/>
        <v>0</v>
      </c>
      <c r="AT38">
        <f t="shared" si="15"/>
        <v>0</v>
      </c>
    </row>
    <row r="39" spans="13:46" x14ac:dyDescent="0.35">
      <c r="M39" s="46">
        <v>44682</v>
      </c>
      <c r="N39" s="49">
        <v>2022</v>
      </c>
      <c r="O39" s="47">
        <v>5</v>
      </c>
      <c r="P39" s="47">
        <v>31</v>
      </c>
      <c r="Q39" s="48">
        <v>4.0076028699999995E-2</v>
      </c>
      <c r="R39">
        <f>'Energieprijzen kmo''s'!C28</f>
        <v>0.12330000000000001</v>
      </c>
      <c r="S39" s="50">
        <f>'Energieprijzen kmo''s'!E28</f>
        <v>9.4999999999999998E-3</v>
      </c>
      <c r="T39" s="45">
        <f t="shared" si="0"/>
        <v>2014.557497941727</v>
      </c>
      <c r="V39">
        <f>IF(OR($C$23="",$E$23=""),0,W39+MAX(0,_xlfn.DAYS(MIN($E$23,DATE(N39,$O39,$P39)),MAX($C$23,DATE(N39,$O39,0)))))</f>
        <v>31</v>
      </c>
      <c r="W39" s="92">
        <f>IF(AND(MONTH($C$23)=O39,YEAR($C$23)=N39),1,0)</f>
        <v>0</v>
      </c>
      <c r="X39" s="45">
        <f t="shared" si="9"/>
        <v>2014.557497941727</v>
      </c>
      <c r="Y39" s="51">
        <f t="shared" si="1"/>
        <v>248.39493949621496</v>
      </c>
      <c r="AA39">
        <f>IF(OR($C$24="",$E$24=""),0,AB39+MAX(0,_xlfn.DAYS(MIN($E$24,DATE(N39,$O39,$P39)),MAX($C$24,DATE(N39,$O39,0)))))</f>
        <v>0</v>
      </c>
      <c r="AB39" s="92">
        <f>IF(AND(MONTH($C$24)=$O39,YEAR($C$24)=N39),1,0)</f>
        <v>0</v>
      </c>
      <c r="AC39" s="45">
        <f t="shared" si="16"/>
        <v>0</v>
      </c>
      <c r="AD39" s="51">
        <f t="shared" si="2"/>
        <v>0</v>
      </c>
      <c r="AF39">
        <f t="shared" si="11"/>
        <v>0</v>
      </c>
      <c r="AG39" s="92">
        <f>IF(AND(MONTH($C$25)=$O39,YEAR($C$25)=N39),1,0)</f>
        <v>0</v>
      </c>
      <c r="AH39" s="45">
        <f t="shared" si="17"/>
        <v>0</v>
      </c>
      <c r="AI39" s="51">
        <f t="shared" si="3"/>
        <v>0</v>
      </c>
      <c r="AK39">
        <f t="shared" si="13"/>
        <v>0</v>
      </c>
      <c r="AL39" s="92">
        <f>IF(AND(MONTH($C$26)=$O39,YEAR($C$26)=N39),1,0)</f>
        <v>0</v>
      </c>
      <c r="AM39" s="45">
        <f t="shared" si="18"/>
        <v>0</v>
      </c>
      <c r="AN39" s="51">
        <f t="shared" si="4"/>
        <v>0</v>
      </c>
      <c r="AP39">
        <f t="shared" si="5"/>
        <v>31</v>
      </c>
      <c r="AQ39" s="45">
        <f t="shared" si="19"/>
        <v>2014.557497941727</v>
      </c>
      <c r="AR39" s="51">
        <f t="shared" si="20"/>
        <v>248.39493949621496</v>
      </c>
      <c r="AS39">
        <f t="shared" si="8"/>
        <v>0</v>
      </c>
      <c r="AT39">
        <f t="shared" si="15"/>
        <v>0</v>
      </c>
    </row>
    <row r="40" spans="13:46" x14ac:dyDescent="0.35">
      <c r="M40" s="46">
        <v>44713</v>
      </c>
      <c r="N40" s="49">
        <v>2022</v>
      </c>
      <c r="O40" s="47">
        <v>6</v>
      </c>
      <c r="P40" s="47">
        <v>30</v>
      </c>
      <c r="Q40" s="48">
        <v>2.2356556100000015E-2</v>
      </c>
      <c r="R40">
        <f>'Energieprijzen kmo''s'!C29</f>
        <v>0.11810000000000001</v>
      </c>
      <c r="S40" s="50">
        <f>'Energieprijzen kmo''s'!E29</f>
        <v>9.4999999999999998E-3</v>
      </c>
      <c r="T40" s="45">
        <f t="shared" si="0"/>
        <v>1123.8281132234515</v>
      </c>
      <c r="V40">
        <f>IF(OR($C$23="",$E$23=""),0,W40+MAX(0,_xlfn.DAYS(MIN($E$23,DATE(N40,$O40,$P40)),MAX($C$23,DATE(N40,$O40,0)))))</f>
        <v>30</v>
      </c>
      <c r="W40" s="92">
        <f>IF(AND(MONTH($C$23)=O40,YEAR($C$23)=N40),1,0)</f>
        <v>0</v>
      </c>
      <c r="X40" s="45">
        <f t="shared" si="9"/>
        <v>1123.8281132234515</v>
      </c>
      <c r="Y40" s="51">
        <f t="shared" si="1"/>
        <v>132.72410017168963</v>
      </c>
      <c r="AA40">
        <f>IF(OR($C$24="",$E$24=""),0,AB40+MAX(0,_xlfn.DAYS(MIN($E$24,DATE(N40,$O40,$P40)),MAX($C$24,DATE(N40,$O40,0)))))</f>
        <v>0</v>
      </c>
      <c r="AB40" s="92">
        <f>IF(AND(MONTH($C$24)=$O40,YEAR($C$24)=N40),1,0)</f>
        <v>0</v>
      </c>
      <c r="AC40" s="45">
        <f t="shared" si="16"/>
        <v>0</v>
      </c>
      <c r="AD40" s="51">
        <f t="shared" si="2"/>
        <v>0</v>
      </c>
      <c r="AF40">
        <f t="shared" si="11"/>
        <v>0</v>
      </c>
      <c r="AG40" s="92">
        <f>IF(AND(MONTH($C$25)=$O40,YEAR($C$25)=N40),1,0)</f>
        <v>0</v>
      </c>
      <c r="AH40" s="45">
        <f t="shared" si="17"/>
        <v>0</v>
      </c>
      <c r="AI40" s="51">
        <f t="shared" si="3"/>
        <v>0</v>
      </c>
      <c r="AK40">
        <f t="shared" si="13"/>
        <v>0</v>
      </c>
      <c r="AL40" s="92">
        <f>IF(AND(MONTH($C$26)=$O40,YEAR($C$26)=N40),1,0)</f>
        <v>0</v>
      </c>
      <c r="AM40" s="45">
        <f t="shared" si="18"/>
        <v>0</v>
      </c>
      <c r="AN40" s="51">
        <f t="shared" si="4"/>
        <v>0</v>
      </c>
      <c r="AP40">
        <f t="shared" si="5"/>
        <v>30</v>
      </c>
      <c r="AQ40" s="45">
        <f t="shared" si="19"/>
        <v>1123.8281132234515</v>
      </c>
      <c r="AR40" s="51">
        <f t="shared" si="20"/>
        <v>132.72410017168963</v>
      </c>
      <c r="AS40">
        <f t="shared" si="8"/>
        <v>0</v>
      </c>
      <c r="AT40">
        <f t="shared" si="15"/>
        <v>0</v>
      </c>
    </row>
    <row r="41" spans="13:46" x14ac:dyDescent="0.35">
      <c r="M41" s="46">
        <v>44743</v>
      </c>
      <c r="N41" s="49">
        <v>2022</v>
      </c>
      <c r="O41" s="47">
        <v>7</v>
      </c>
      <c r="P41" s="47">
        <v>31</v>
      </c>
      <c r="Q41" s="48">
        <v>2.08430384E-2</v>
      </c>
      <c r="R41">
        <f>'Energieprijzen kmo''s'!C30</f>
        <v>0.12090000000000001</v>
      </c>
      <c r="S41" s="50">
        <f>'Energieprijzen kmo''s'!E30</f>
        <v>9.4999999999999998E-3</v>
      </c>
      <c r="T41" s="45">
        <f t="shared" si="0"/>
        <v>1047.7460130326572</v>
      </c>
      <c r="V41">
        <f>IF(OR($C$23="",$E$23=""),0,W41+MAX(0,_xlfn.DAYS(MIN($E$23,DATE(N41,$O41,$P41)),MAX($C$23,DATE(N41,$O41,0)))))</f>
        <v>31</v>
      </c>
      <c r="W41" s="92">
        <f>IF(AND(MONTH($C$23)=O41,YEAR($C$23)=N41),1,0)</f>
        <v>0</v>
      </c>
      <c r="X41" s="45">
        <f t="shared" si="9"/>
        <v>1047.7460130326572</v>
      </c>
      <c r="Y41" s="51">
        <f t="shared" si="1"/>
        <v>126.67249297564825</v>
      </c>
      <c r="AA41">
        <f>IF(OR($C$24="",$E$24=""),0,AB41+MAX(0,_xlfn.DAYS(MIN($E$24,DATE(N41,$O41,$P41)),MAX($C$24,DATE(N41,$O41,0)))))</f>
        <v>0</v>
      </c>
      <c r="AB41" s="92">
        <f>IF(AND(MONTH($C$24)=$O41,YEAR($C$24)=N41),1,0)</f>
        <v>0</v>
      </c>
      <c r="AC41" s="45">
        <f t="shared" si="16"/>
        <v>0</v>
      </c>
      <c r="AD41" s="51">
        <f t="shared" si="2"/>
        <v>0</v>
      </c>
      <c r="AF41">
        <f t="shared" si="11"/>
        <v>0</v>
      </c>
      <c r="AG41" s="92">
        <f>IF(AND(MONTH($C$25)=$O41,YEAR($C$25)=N41),1,0)</f>
        <v>0</v>
      </c>
      <c r="AH41" s="45">
        <f t="shared" si="17"/>
        <v>0</v>
      </c>
      <c r="AI41" s="51">
        <f t="shared" si="3"/>
        <v>0</v>
      </c>
      <c r="AK41">
        <f t="shared" si="13"/>
        <v>0</v>
      </c>
      <c r="AL41" s="92">
        <f>IF(AND(MONTH($C$26)=$O41,YEAR($C$26)=N41),1,0)</f>
        <v>0</v>
      </c>
      <c r="AM41" s="45">
        <f t="shared" si="18"/>
        <v>0</v>
      </c>
      <c r="AN41" s="51">
        <f t="shared" si="4"/>
        <v>0</v>
      </c>
      <c r="AP41">
        <f t="shared" si="5"/>
        <v>31</v>
      </c>
      <c r="AQ41" s="45">
        <f t="shared" si="19"/>
        <v>1047.7460130326572</v>
      </c>
      <c r="AR41" s="51">
        <f t="shared" si="20"/>
        <v>126.67249297564825</v>
      </c>
      <c r="AS41">
        <f t="shared" si="8"/>
        <v>0</v>
      </c>
      <c r="AT41">
        <f t="shared" si="15"/>
        <v>0</v>
      </c>
    </row>
    <row r="42" spans="13:46" x14ac:dyDescent="0.35">
      <c r="M42" s="46">
        <v>44774</v>
      </c>
      <c r="N42" s="49">
        <v>2022</v>
      </c>
      <c r="O42" s="47">
        <v>8</v>
      </c>
      <c r="P42" s="47">
        <v>31</v>
      </c>
      <c r="Q42" s="48">
        <v>2.082444960000001E-2</v>
      </c>
      <c r="R42">
        <f>'Energieprijzen kmo''s'!C31</f>
        <v>0.13389999999999999</v>
      </c>
      <c r="S42" s="50">
        <f>'Energieprijzen kmo''s'!E31</f>
        <v>9.4999999999999998E-3</v>
      </c>
      <c r="T42" s="45">
        <f t="shared" si="0"/>
        <v>1046.8115839579091</v>
      </c>
      <c r="V42">
        <f>IF(OR($C$23="",$E$23=""),0,W42+MAX(0,_xlfn.DAYS(MIN($E$23,DATE(N42,$O42,$P42)),MAX($C$23,DATE(N42,$O42,0)))))</f>
        <v>31</v>
      </c>
      <c r="W42" s="92">
        <f>IF(AND(MONTH($C$23)=O42,YEAR($C$23)=N42),1,0)</f>
        <v>0</v>
      </c>
      <c r="X42" s="45">
        <f t="shared" si="9"/>
        <v>1046.8115839579091</v>
      </c>
      <c r="Y42" s="51">
        <f t="shared" si="1"/>
        <v>140.16807109196401</v>
      </c>
      <c r="AA42">
        <f>IF(OR($C$24="",$E$24=""),0,AB42+MAX(0,_xlfn.DAYS(MIN($E$24,DATE(N42,$O42,$P42)),MAX($C$24,DATE(N42,$O42,0)))))</f>
        <v>0</v>
      </c>
      <c r="AB42" s="92">
        <f>IF(AND(MONTH($C$24)=$O42,YEAR($C$24)=N42),1,0)</f>
        <v>0</v>
      </c>
      <c r="AC42" s="45">
        <f t="shared" si="16"/>
        <v>0</v>
      </c>
      <c r="AD42" s="51">
        <f t="shared" si="2"/>
        <v>0</v>
      </c>
      <c r="AF42">
        <f t="shared" si="11"/>
        <v>0</v>
      </c>
      <c r="AG42" s="92">
        <f>IF(AND(MONTH($C$25)=$O42,YEAR($C$25)=N42),1,0)</f>
        <v>0</v>
      </c>
      <c r="AH42" s="45">
        <f t="shared" si="17"/>
        <v>0</v>
      </c>
      <c r="AI42" s="51">
        <f t="shared" si="3"/>
        <v>0</v>
      </c>
      <c r="AK42">
        <f t="shared" si="13"/>
        <v>0</v>
      </c>
      <c r="AL42" s="92">
        <f>IF(AND(MONTH($C$26)=$O42,YEAR($C$26)=N42),1,0)</f>
        <v>0</v>
      </c>
      <c r="AM42" s="45">
        <f t="shared" si="18"/>
        <v>0</v>
      </c>
      <c r="AN42" s="51">
        <f t="shared" si="4"/>
        <v>0</v>
      </c>
      <c r="AP42">
        <f t="shared" si="5"/>
        <v>31</v>
      </c>
      <c r="AQ42" s="45">
        <f t="shared" si="19"/>
        <v>1046.8115839579091</v>
      </c>
      <c r="AR42" s="51">
        <f t="shared" si="20"/>
        <v>140.16807109196401</v>
      </c>
      <c r="AS42">
        <f t="shared" si="8"/>
        <v>0</v>
      </c>
      <c r="AT42">
        <f t="shared" si="15"/>
        <v>0</v>
      </c>
    </row>
    <row r="43" spans="13:46" x14ac:dyDescent="0.35">
      <c r="M43" s="46">
        <v>44805</v>
      </c>
      <c r="N43" s="49">
        <v>2022</v>
      </c>
      <c r="O43" s="47">
        <v>9</v>
      </c>
      <c r="P43" s="47">
        <v>30</v>
      </c>
      <c r="Q43" s="48">
        <v>2.7188076700000015E-2</v>
      </c>
      <c r="R43">
        <f>'Energieprijzen kmo''s'!C32</f>
        <v>0.15609999999999999</v>
      </c>
      <c r="S43" s="50">
        <f>'Energieprijzen kmo''s'!E32</f>
        <v>9.4999999999999998E-3</v>
      </c>
      <c r="T43" s="45">
        <f t="shared" si="0"/>
        <v>1366.7008819813477</v>
      </c>
      <c r="V43">
        <f>IF(OR($C$23="",$E$23=""),0,W43+MAX(0,_xlfn.DAYS(MIN($E$23,DATE(N43,$O43,$P43)),MAX($C$23,DATE(N43,$O43,0)))))</f>
        <v>30</v>
      </c>
      <c r="W43" s="92">
        <f>IF(AND(MONTH($C$23)=O43,YEAR($C$23)=N43),1,0)</f>
        <v>0</v>
      </c>
      <c r="X43" s="45">
        <f t="shared" si="9"/>
        <v>1366.7008819813477</v>
      </c>
      <c r="Y43" s="51">
        <f t="shared" si="1"/>
        <v>213.34200767728836</v>
      </c>
      <c r="AA43">
        <f>IF(OR($C$24="",$E$24=""),0,AB43+MAX(0,_xlfn.DAYS(MIN($E$24,DATE(N43,$O43,$P43)),MAX($C$24,DATE(N43,$O43,0)))))</f>
        <v>0</v>
      </c>
      <c r="AB43" s="92">
        <f>IF(AND(MONTH($C$24)=$O43,YEAR($C$24)=N43),1,0)</f>
        <v>0</v>
      </c>
      <c r="AC43" s="45">
        <f t="shared" si="16"/>
        <v>0</v>
      </c>
      <c r="AD43" s="51">
        <f t="shared" si="2"/>
        <v>0</v>
      </c>
      <c r="AF43">
        <f t="shared" si="11"/>
        <v>0</v>
      </c>
      <c r="AG43" s="92">
        <f>IF(AND(MONTH($C$25)=$O43,YEAR($C$25)=N43),1,0)</f>
        <v>0</v>
      </c>
      <c r="AH43" s="45">
        <f t="shared" si="17"/>
        <v>0</v>
      </c>
      <c r="AI43" s="51">
        <f t="shared" si="3"/>
        <v>0</v>
      </c>
      <c r="AK43">
        <f t="shared" si="13"/>
        <v>0</v>
      </c>
      <c r="AL43" s="92">
        <f>IF(AND(MONTH($C$26)=$O43,YEAR($C$26)=N43),1,0)</f>
        <v>0</v>
      </c>
      <c r="AM43" s="45">
        <f t="shared" si="18"/>
        <v>0</v>
      </c>
      <c r="AN43" s="51">
        <f t="shared" si="4"/>
        <v>0</v>
      </c>
      <c r="AP43">
        <f t="shared" si="5"/>
        <v>30</v>
      </c>
      <c r="AQ43" s="45">
        <f t="shared" si="19"/>
        <v>1366.7008819813477</v>
      </c>
      <c r="AR43" s="51">
        <f t="shared" si="20"/>
        <v>213.34200767728836</v>
      </c>
      <c r="AS43">
        <f t="shared" si="8"/>
        <v>0</v>
      </c>
      <c r="AT43">
        <f t="shared" si="15"/>
        <v>0</v>
      </c>
    </row>
    <row r="44" spans="13:46" x14ac:dyDescent="0.35">
      <c r="M44" s="46">
        <v>44835</v>
      </c>
      <c r="N44" s="49">
        <v>2022</v>
      </c>
      <c r="O44" s="47">
        <v>10</v>
      </c>
      <c r="P44" s="47">
        <v>31</v>
      </c>
      <c r="Q44" s="48">
        <v>6.2766286199999938E-2</v>
      </c>
      <c r="R44">
        <f>'Energieprijzen kmo''s'!C33</f>
        <v>0.1981</v>
      </c>
      <c r="S44" s="50">
        <f>'Energieprijzen kmo''s'!E33</f>
        <v>9.4999999999999998E-3</v>
      </c>
      <c r="T44" s="45">
        <f>Q44*$R$17*0.7</f>
        <v>2208.6121706344711</v>
      </c>
      <c r="V44">
        <f>IF(OR($C$23="",$E$23=""),0,W44+MAX(0,_xlfn.DAYS(MIN($E$23,DATE(N44,$O44,$P44)),MAX($C$23,DATE(N44,$O44,0)))))</f>
        <v>31</v>
      </c>
      <c r="W44" s="92">
        <f>IF(AND(MONTH($C$23)=O44,YEAR($C$23)=N44),1,0)</f>
        <v>0</v>
      </c>
      <c r="X44" s="45">
        <f t="shared" si="9"/>
        <v>2208.6121706344711</v>
      </c>
      <c r="Y44" s="51">
        <f t="shared" si="1"/>
        <v>437.5260710026887</v>
      </c>
      <c r="AA44">
        <f>IF(OR($C$24="",$E$24=""),0,AB44+MAX(0,_xlfn.DAYS(MIN($E$24,DATE(N44,$O44,$P44)),MAX($C$24,DATE(N44,$O44,0)))))</f>
        <v>0</v>
      </c>
      <c r="AB44" s="92">
        <f>IF(AND(MONTH($C$24)=$O44,YEAR($C$24)=N44),1,0)</f>
        <v>0</v>
      </c>
      <c r="AC44" s="45">
        <f t="shared" si="10"/>
        <v>0</v>
      </c>
      <c r="AD44" s="51">
        <f t="shared" si="2"/>
        <v>0</v>
      </c>
      <c r="AF44">
        <f t="shared" si="11"/>
        <v>0</v>
      </c>
      <c r="AG44" s="92">
        <f>IF(AND(MONTH($C$25)=$O44,YEAR($C$25)=N44),1,0)</f>
        <v>0</v>
      </c>
      <c r="AH44" s="45">
        <f t="shared" si="12"/>
        <v>0</v>
      </c>
      <c r="AI44" s="51">
        <f t="shared" si="3"/>
        <v>0</v>
      </c>
      <c r="AK44">
        <f t="shared" si="13"/>
        <v>0</v>
      </c>
      <c r="AL44" s="92">
        <f>IF(AND(MONTH($C$26)=$O44,YEAR($C$26)=N44),1,0)</f>
        <v>0</v>
      </c>
      <c r="AM44" s="45">
        <f t="shared" si="14"/>
        <v>0</v>
      </c>
      <c r="AN44" s="51">
        <f t="shared" si="4"/>
        <v>0</v>
      </c>
      <c r="AP44">
        <f>AK44+AF44+AA44+V44</f>
        <v>31</v>
      </c>
      <c r="AQ44" s="45">
        <f t="shared" ref="AQ44:AR46" si="21">AM44+AH44+AC44+X44</f>
        <v>2208.6121706344711</v>
      </c>
      <c r="AR44" s="51">
        <f t="shared" si="21"/>
        <v>437.5260710026887</v>
      </c>
      <c r="AS44">
        <f>IF(AP44&gt;P44,1,0)</f>
        <v>0</v>
      </c>
      <c r="AT44">
        <f t="shared" si="15"/>
        <v>0</v>
      </c>
    </row>
    <row r="45" spans="13:46" x14ac:dyDescent="0.35">
      <c r="M45" s="46">
        <v>44866</v>
      </c>
      <c r="N45" s="49">
        <v>2022</v>
      </c>
      <c r="O45" s="47">
        <v>11</v>
      </c>
      <c r="P45" s="47">
        <v>30</v>
      </c>
      <c r="Q45" s="48">
        <v>0.11483429059999996</v>
      </c>
      <c r="R45">
        <f>'Energieprijzen kmo''s'!C34</f>
        <v>0.1656</v>
      </c>
      <c r="S45" s="50">
        <f>'Energieprijzen kmo''s'!E34</f>
        <v>9.4999999999999998E-3</v>
      </c>
      <c r="T45" s="45">
        <f>Q45*$R$17*0.7</f>
        <v>4040.7745492091235</v>
      </c>
      <c r="V45">
        <f>IF(OR($C$23="",$E$23=""),0,W45+MAX(0,_xlfn.DAYS(MIN($E$23,DATE(N45,$O45,$P45)),MAX($C$23,DATE(N45,$O45,0)))))</f>
        <v>30</v>
      </c>
      <c r="W45" s="92">
        <f>IF(AND(MONTH($C$23)=O45,YEAR($C$23)=N45),1,0)</f>
        <v>0</v>
      </c>
      <c r="X45" s="45">
        <f t="shared" si="9"/>
        <v>4040.7745492091235</v>
      </c>
      <c r="Y45" s="51">
        <f t="shared" si="1"/>
        <v>669.15226534903081</v>
      </c>
      <c r="AA45">
        <f>IF(OR($C$24="",$E$24=""),0,AB45+MAX(0,_xlfn.DAYS(MIN($E$24,DATE(N45,$O45,$P45)),MAX($C$24,DATE(N45,$O45,0)))))</f>
        <v>0</v>
      </c>
      <c r="AB45" s="92">
        <f>IF(AND(MONTH($C$24)=$O45,YEAR($C$24)=N45),1,0)</f>
        <v>0</v>
      </c>
      <c r="AC45" s="45">
        <f t="shared" si="10"/>
        <v>0</v>
      </c>
      <c r="AD45" s="51">
        <f t="shared" si="2"/>
        <v>0</v>
      </c>
      <c r="AF45">
        <f t="shared" si="11"/>
        <v>0</v>
      </c>
      <c r="AG45" s="92">
        <f>IF(AND(MONTH($C$25)=$O45,YEAR($C$25)=N45),1,0)</f>
        <v>0</v>
      </c>
      <c r="AH45" s="45">
        <f t="shared" si="12"/>
        <v>0</v>
      </c>
      <c r="AI45" s="51">
        <f t="shared" si="3"/>
        <v>0</v>
      </c>
      <c r="AK45">
        <f t="shared" si="13"/>
        <v>0</v>
      </c>
      <c r="AL45" s="92">
        <f>IF(AND(MONTH($C$26)=$O45,YEAR($C$26)=N45),1,0)</f>
        <v>0</v>
      </c>
      <c r="AM45" s="45">
        <f t="shared" si="14"/>
        <v>0</v>
      </c>
      <c r="AN45" s="51">
        <f t="shared" si="4"/>
        <v>0</v>
      </c>
      <c r="AP45">
        <f>AK45+AF45+AA45+V45</f>
        <v>30</v>
      </c>
      <c r="AQ45" s="45">
        <f t="shared" si="21"/>
        <v>4040.7745492091235</v>
      </c>
      <c r="AR45" s="51">
        <f t="shared" si="21"/>
        <v>669.15226534903081</v>
      </c>
      <c r="AS45">
        <f>IF(AP45&gt;P45,1,0)</f>
        <v>0</v>
      </c>
      <c r="AT45">
        <f t="shared" si="15"/>
        <v>0</v>
      </c>
    </row>
    <row r="46" spans="13:46" x14ac:dyDescent="0.35">
      <c r="M46" s="46">
        <v>44896</v>
      </c>
      <c r="N46" s="49">
        <v>2022</v>
      </c>
      <c r="O46" s="47">
        <v>12</v>
      </c>
      <c r="P46" s="47">
        <v>31</v>
      </c>
      <c r="Q46" s="48">
        <v>0.16004607779999999</v>
      </c>
      <c r="R46">
        <f>'Energieprijzen kmo''s'!C35</f>
        <v>0.18179999999999999</v>
      </c>
      <c r="S46" s="50">
        <f>'Energieprijzen kmo''s'!E35</f>
        <v>9.4999999999999998E-3</v>
      </c>
      <c r="T46" s="45">
        <f>Q46*$R$17*0.7</f>
        <v>5631.6812207919311</v>
      </c>
      <c r="V46">
        <f>IF(OR($C$23="",$E$23=""),0,W46+MAX(0,_xlfn.DAYS(MIN($E$23,DATE(N46,$O46,$P46)),MAX($C$23,DATE(N46,$O46,0)))))</f>
        <v>31</v>
      </c>
      <c r="W46" s="92">
        <f>IF(AND(MONTH($C$23)=O46,YEAR($C$23)=N46),1,0)</f>
        <v>0</v>
      </c>
      <c r="X46" s="45">
        <f t="shared" si="9"/>
        <v>5631.6812207919311</v>
      </c>
      <c r="Y46" s="51">
        <f t="shared" si="1"/>
        <v>1023.839645939973</v>
      </c>
      <c r="AA46">
        <f>IF(OR($C$24="",$E$24=""),0,AB46+MAX(0,_xlfn.DAYS(MIN($E$24,DATE(N46,$O46,$P46)),MAX($C$24,DATE(N46,$O46,0)))))</f>
        <v>0</v>
      </c>
      <c r="AB46" s="92">
        <f>IF(AND(MONTH($C$24)=$O46,YEAR($C$24)=N46),1,0)</f>
        <v>0</v>
      </c>
      <c r="AC46" s="45">
        <f t="shared" si="10"/>
        <v>0</v>
      </c>
      <c r="AD46" s="51">
        <f t="shared" si="2"/>
        <v>0</v>
      </c>
      <c r="AF46">
        <f t="shared" si="11"/>
        <v>0</v>
      </c>
      <c r="AG46" s="92">
        <f>IF(AND(MONTH($C$25)=$O46,YEAR($C$25)=N46),1,0)</f>
        <v>0</v>
      </c>
      <c r="AH46" s="45">
        <f t="shared" si="12"/>
        <v>0</v>
      </c>
      <c r="AI46" s="51">
        <f t="shared" si="3"/>
        <v>0</v>
      </c>
      <c r="AK46">
        <f t="shared" si="13"/>
        <v>0</v>
      </c>
      <c r="AL46" s="92">
        <f>IF(AND(MONTH($C$26)=$O46,YEAR($C$26)=N46),1,0)</f>
        <v>0</v>
      </c>
      <c r="AM46" s="45">
        <f t="shared" si="14"/>
        <v>0</v>
      </c>
      <c r="AN46" s="51">
        <f t="shared" si="4"/>
        <v>0</v>
      </c>
      <c r="AP46">
        <f>AK46+AF46+AA46+V46</f>
        <v>31</v>
      </c>
      <c r="AQ46" s="45">
        <f t="shared" si="21"/>
        <v>5631.6812207919311</v>
      </c>
      <c r="AR46" s="51">
        <f t="shared" si="21"/>
        <v>1023.839645939973</v>
      </c>
      <c r="AS46">
        <f>IF(AP46&gt;P46,1,0)</f>
        <v>0</v>
      </c>
      <c r="AT46">
        <f t="shared" si="15"/>
        <v>0</v>
      </c>
    </row>
    <row r="47" spans="13:46" x14ac:dyDescent="0.35">
      <c r="M47" s="46">
        <v>44927</v>
      </c>
      <c r="N47" s="49">
        <v>2023</v>
      </c>
      <c r="O47" s="47">
        <v>1</v>
      </c>
      <c r="P47" s="47">
        <v>31</v>
      </c>
      <c r="Q47" s="48">
        <v>0.17982027080000254</v>
      </c>
      <c r="R47">
        <f>'Energieprijzen kmo''s'!C36</f>
        <v>0.1386</v>
      </c>
      <c r="S47" s="50">
        <f>'Energieprijzen kmo''s'!E36</f>
        <v>0.01</v>
      </c>
      <c r="T47" s="45">
        <f t="shared" ref="T47:T49" si="22">Q47*$R$17*0.7</f>
        <v>6327.4930326477152</v>
      </c>
      <c r="V47">
        <f>IF(OR($C$23="",$E$23=""),0,W47+MAX(0,_xlfn.DAYS(MIN($E$23,DATE(N47,$O47,$P47)),MAX($C$23,DATE(N47,$O47,0)))))</f>
        <v>0</v>
      </c>
      <c r="W47" s="92">
        <f>IF(AND(MONTH($C$23)=O47,YEAR($C$23)=N47),1,0)</f>
        <v>0</v>
      </c>
      <c r="X47" s="45">
        <f t="shared" ref="X47:X49" si="23">V47/$P47*$T47</f>
        <v>0</v>
      </c>
      <c r="Y47" s="51">
        <f t="shared" ref="Y47:Y49" si="24">X47*(IF($G$23=$B$9,$R47,$I$23+$S47))</f>
        <v>0</v>
      </c>
      <c r="AA47">
        <f>IF(OR($C$24="",$E$24=""),0,AB47+MAX(0,_xlfn.DAYS(MIN($E$24,DATE(N47,$O47,$P47)),MAX($C$24,DATE(N47,$O47,0)))))</f>
        <v>31</v>
      </c>
      <c r="AB47" s="92">
        <f>IF(AND(MONTH($C$24)=$O47,YEAR($C$24)=N47),1,0)</f>
        <v>1</v>
      </c>
      <c r="AC47" s="45">
        <f t="shared" ref="AC47:AC49" si="25">AA47/$P47*$T47</f>
        <v>6327.4930326477152</v>
      </c>
      <c r="AD47" s="51">
        <f t="shared" ref="AD47:AD49" si="26">AC47*(IF($G$24=$B$9,$R47,$I$24+$S47))</f>
        <v>876.99053432497328</v>
      </c>
      <c r="AF47">
        <f t="shared" ref="AF47:AF49" si="27">IF(OR($C$25="",$E$25=""),0,AG47+MAX(0,_xlfn.DAYS(MIN($E$25,DATE(N47,$O47,$P47)),MAX($C$25,DATE(N47,$O47,0)))))</f>
        <v>0</v>
      </c>
      <c r="AG47" s="92">
        <f>IF(AND(MONTH($C$25)=$O47,YEAR($C$25)=N47),1,0)</f>
        <v>0</v>
      </c>
      <c r="AH47" s="45">
        <f t="shared" ref="AH47:AH49" si="28">AF47/$P47*$T47</f>
        <v>0</v>
      </c>
      <c r="AI47" s="51">
        <f t="shared" ref="AI47:AI49" si="29">AH47*(IF($G$25=$B$9,$R47,$I$25+$S47))</f>
        <v>0</v>
      </c>
      <c r="AK47">
        <f t="shared" ref="AK47:AK49" si="30">IF(OR($C$26="",$E$26=""),0,AL47+MAX(0,_xlfn.DAYS(MIN($E$26,DATE(N47,$O47,$P47)),MAX($C$26,DATE(N47,$O47,0)))))</f>
        <v>0</v>
      </c>
      <c r="AL47" s="92">
        <f>IF(AND(MONTH($C$26)=$O47,YEAR($C$26)=N47),1,0)</f>
        <v>0</v>
      </c>
      <c r="AM47" s="45">
        <f t="shared" ref="AM47:AM49" si="31">AK47/$P47*$T47</f>
        <v>0</v>
      </c>
      <c r="AN47" s="51">
        <f t="shared" ref="AN47:AN49" si="32">AM47*(IF($G$26=$B$9,$R47,$I$26+$S47))</f>
        <v>0</v>
      </c>
      <c r="AP47">
        <f t="shared" ref="AP47:AP49" si="33">AK47+AF47+AA47+V47</f>
        <v>31</v>
      </c>
      <c r="AQ47" s="45">
        <f t="shared" ref="AQ47:AQ49" si="34">AM47+AH47+AC47+X47</f>
        <v>6327.4930326477152</v>
      </c>
      <c r="AR47" s="51">
        <f t="shared" ref="AR47:AR49" si="35">AN47+AI47+AD47+Y47</f>
        <v>876.99053432497328</v>
      </c>
      <c r="AS47">
        <f t="shared" ref="AS47:AS49" si="36">IF(AP47&gt;P47,1,0)</f>
        <v>0</v>
      </c>
      <c r="AT47">
        <f t="shared" ref="AT47:AT49" si="37">IF(AP47&lt;P47,1,0)</f>
        <v>0</v>
      </c>
    </row>
    <row r="48" spans="13:46" x14ac:dyDescent="0.35">
      <c r="M48" s="46">
        <v>44958</v>
      </c>
      <c r="N48" s="49">
        <v>2023</v>
      </c>
      <c r="O48" s="47">
        <v>2</v>
      </c>
      <c r="P48" s="47">
        <v>28</v>
      </c>
      <c r="Q48" s="48">
        <v>0.15151247989999983</v>
      </c>
      <c r="R48">
        <f>'Energieprijzen kmo''s'!C37</f>
        <v>0.11940000000000001</v>
      </c>
      <c r="S48" s="50">
        <f>'Energieprijzen kmo''s'!E37</f>
        <v>0.01</v>
      </c>
      <c r="T48" s="45">
        <f t="shared" si="22"/>
        <v>5331.4020530682701</v>
      </c>
      <c r="V48">
        <f>IF(OR($C$23="",$E$23=""),0,W48+MAX(0,_xlfn.DAYS(MIN($E$23,DATE(N48,$O48,$P48)),MAX($C$23,DATE(N48,$O48,0)))))</f>
        <v>0</v>
      </c>
      <c r="W48" s="92">
        <f>IF(AND(MONTH($C$23)=O48,YEAR($C$23)=N48),1,0)</f>
        <v>0</v>
      </c>
      <c r="X48" s="45">
        <f t="shared" si="23"/>
        <v>0</v>
      </c>
      <c r="Y48" s="51">
        <f t="shared" si="24"/>
        <v>0</v>
      </c>
      <c r="AA48">
        <f>IF(OR($C$24="",$E$24=""),0,AB48+MAX(0,_xlfn.DAYS(MIN($E$24,DATE(N48,$O48,$P48)),MAX($C$24,DATE(N48,$O48,0)))))</f>
        <v>28</v>
      </c>
      <c r="AB48" s="92">
        <f>IF(AND(MONTH($C$24)=$O48,YEAR($C$24)=N48),1,0)</f>
        <v>0</v>
      </c>
      <c r="AC48" s="45">
        <f t="shared" si="25"/>
        <v>5331.4020530682701</v>
      </c>
      <c r="AD48" s="51">
        <f t="shared" si="26"/>
        <v>636.56940513635152</v>
      </c>
      <c r="AF48">
        <f t="shared" si="27"/>
        <v>0</v>
      </c>
      <c r="AG48" s="92">
        <f>IF(AND(MONTH($C$25)=$O48,YEAR($C$25)=N48),1,0)</f>
        <v>0</v>
      </c>
      <c r="AH48" s="45">
        <f t="shared" si="28"/>
        <v>0</v>
      </c>
      <c r="AI48" s="51">
        <f t="shared" si="29"/>
        <v>0</v>
      </c>
      <c r="AK48">
        <f t="shared" si="30"/>
        <v>0</v>
      </c>
      <c r="AL48" s="92">
        <f>IF(AND(MONTH($C$26)=$O48,YEAR($C$26)=N48),1,0)</f>
        <v>0</v>
      </c>
      <c r="AM48" s="45">
        <f t="shared" si="31"/>
        <v>0</v>
      </c>
      <c r="AN48" s="51">
        <f t="shared" si="32"/>
        <v>0</v>
      </c>
      <c r="AP48">
        <f t="shared" si="33"/>
        <v>28</v>
      </c>
      <c r="AQ48" s="45">
        <f t="shared" si="34"/>
        <v>5331.4020530682701</v>
      </c>
      <c r="AR48" s="51">
        <f t="shared" si="35"/>
        <v>636.56940513635152</v>
      </c>
      <c r="AS48">
        <f t="shared" si="36"/>
        <v>0</v>
      </c>
      <c r="AT48">
        <f t="shared" si="37"/>
        <v>0</v>
      </c>
    </row>
    <row r="49" spans="13:47" x14ac:dyDescent="0.35">
      <c r="M49" s="46">
        <v>44986</v>
      </c>
      <c r="N49" s="49">
        <v>2023</v>
      </c>
      <c r="O49" s="47">
        <v>3</v>
      </c>
      <c r="P49" s="47">
        <v>31</v>
      </c>
      <c r="Q49" s="48">
        <v>0.12695361890000001</v>
      </c>
      <c r="R49">
        <f>'Energieprijzen kmo''s'!C38</f>
        <v>0.1153</v>
      </c>
      <c r="S49" s="50">
        <f>'Energieprijzen kmo''s'!E38</f>
        <v>0.01</v>
      </c>
      <c r="T49" s="45">
        <f t="shared" si="22"/>
        <v>4467.2279464677122</v>
      </c>
      <c r="V49">
        <f>IF(OR($C$23="",$E$23=""),0,W49+MAX(0,_xlfn.DAYS(MIN($E$23,DATE(N49,$O49,$P49)),MAX($C$23,DATE(N49,$O49,0)))))</f>
        <v>0</v>
      </c>
      <c r="W49" s="92">
        <f>IF(AND(MONTH($C$23)=O49,YEAR($C$23)=N49),1,0)</f>
        <v>0</v>
      </c>
      <c r="X49" s="45">
        <f t="shared" si="23"/>
        <v>0</v>
      </c>
      <c r="Y49" s="51">
        <f t="shared" si="24"/>
        <v>0</v>
      </c>
      <c r="AA49">
        <f>IF(OR($C$24="",$E$24=""),0,AB49+MAX(0,_xlfn.DAYS(MIN($E$24,DATE(N49,$O49,$P49)),MAX($C$24,DATE(N49,$O49,0)))))</f>
        <v>31</v>
      </c>
      <c r="AB49" s="92">
        <f>IF(AND(MONTH($C$24)=$O49,YEAR($C$24)=N49),1,0)</f>
        <v>0</v>
      </c>
      <c r="AC49" s="45">
        <f t="shared" si="25"/>
        <v>4467.2279464677122</v>
      </c>
      <c r="AD49" s="51">
        <f t="shared" si="26"/>
        <v>515.07138222772721</v>
      </c>
      <c r="AF49">
        <f t="shared" si="27"/>
        <v>0</v>
      </c>
      <c r="AG49" s="92">
        <f>IF(AND(MONTH($C$25)=$O49,YEAR($C$25)=N49),1,0)</f>
        <v>0</v>
      </c>
      <c r="AH49" s="45">
        <f t="shared" si="28"/>
        <v>0</v>
      </c>
      <c r="AI49" s="51">
        <f t="shared" si="29"/>
        <v>0</v>
      </c>
      <c r="AK49">
        <f t="shared" si="30"/>
        <v>0</v>
      </c>
      <c r="AL49" s="92">
        <f>IF(AND(MONTH($C$26)=$O49,YEAR($C$26)=N49),1,0)</f>
        <v>0</v>
      </c>
      <c r="AM49" s="45">
        <f t="shared" si="31"/>
        <v>0</v>
      </c>
      <c r="AN49" s="51">
        <f t="shared" si="32"/>
        <v>0</v>
      </c>
      <c r="AP49">
        <f t="shared" si="33"/>
        <v>31</v>
      </c>
      <c r="AQ49" s="45">
        <f t="shared" si="34"/>
        <v>4467.2279464677122</v>
      </c>
      <c r="AR49" s="51">
        <f t="shared" si="35"/>
        <v>515.07138222772721</v>
      </c>
      <c r="AS49">
        <f t="shared" si="36"/>
        <v>0</v>
      </c>
      <c r="AT49">
        <f t="shared" si="37"/>
        <v>0</v>
      </c>
    </row>
    <row r="51" spans="13:47" x14ac:dyDescent="0.35">
      <c r="M51" s="61" t="s">
        <v>516</v>
      </c>
      <c r="Q51" s="62">
        <f>IF(AQ53=0,0,AR53/AQ53)</f>
        <v>5.2435599132279943E-2</v>
      </c>
      <c r="R51" t="s">
        <v>517</v>
      </c>
    </row>
    <row r="52" spans="13:47" x14ac:dyDescent="0.35">
      <c r="M52" s="61"/>
    </row>
    <row r="53" spans="13:47" x14ac:dyDescent="0.35">
      <c r="M53" s="61" t="s">
        <v>518</v>
      </c>
      <c r="Q53" s="62">
        <f>IF(AQ47=0,0,AR47/AQ47)</f>
        <v>0.1386</v>
      </c>
      <c r="R53" t="s">
        <v>517</v>
      </c>
      <c r="T53" s="55"/>
      <c r="AN53" s="2"/>
      <c r="AO53" s="54" t="s">
        <v>519</v>
      </c>
      <c r="AQ53" s="44">
        <f>SUM(AQ23:AQ34)</f>
        <v>50268.391437241684</v>
      </c>
      <c r="AR53" s="63">
        <f>SUM(AR23:AR34)</f>
        <v>2635.8532224277387</v>
      </c>
      <c r="AS53">
        <f>SUM(AS23:AS50)</f>
        <v>0</v>
      </c>
      <c r="AU53" s="2" t="s">
        <v>503</v>
      </c>
    </row>
    <row r="54" spans="13:47" x14ac:dyDescent="0.35">
      <c r="M54" s="61" t="s">
        <v>520</v>
      </c>
      <c r="Q54" s="62">
        <f>IF(AQ48=0,0,AR48/AQ48)</f>
        <v>0.11940000000000001</v>
      </c>
      <c r="R54" t="s">
        <v>517</v>
      </c>
      <c r="AT54">
        <f>SUM(AT23:AT53)</f>
        <v>0</v>
      </c>
      <c r="AU54" s="2" t="s">
        <v>504</v>
      </c>
    </row>
    <row r="55" spans="13:47" x14ac:dyDescent="0.35">
      <c r="M55" s="61" t="s">
        <v>521</v>
      </c>
      <c r="Q55" s="62">
        <f>IF(AQ49=0,0,AR49/AQ49)</f>
        <v>0.1153</v>
      </c>
      <c r="R55" t="s">
        <v>517</v>
      </c>
    </row>
    <row r="57" spans="13:47" x14ac:dyDescent="0.35">
      <c r="M57" s="61" t="s">
        <v>522</v>
      </c>
      <c r="Q57" s="44">
        <f>AQ23</f>
        <v>9039.2757609253076</v>
      </c>
      <c r="R57" t="s">
        <v>496</v>
      </c>
    </row>
    <row r="58" spans="13:47" x14ac:dyDescent="0.35">
      <c r="M58" s="61" t="s">
        <v>523</v>
      </c>
      <c r="P58" s="17"/>
      <c r="Q58" s="44">
        <f t="shared" ref="Q58:Q59" si="38">AQ24</f>
        <v>7616.2886472403861</v>
      </c>
      <c r="R58" t="s">
        <v>496</v>
      </c>
      <c r="S58" s="17"/>
      <c r="T58" s="17"/>
      <c r="V58" s="17"/>
      <c r="W58" s="17"/>
      <c r="X58" s="17"/>
      <c r="Y58" s="17"/>
      <c r="AA58" s="17"/>
      <c r="AB58" s="17"/>
      <c r="AC58" s="17"/>
      <c r="AD58" s="17"/>
      <c r="AF58" s="17"/>
      <c r="AG58" s="17"/>
      <c r="AH58" s="17"/>
      <c r="AI58" s="17"/>
      <c r="AK58" s="17"/>
      <c r="AL58" s="17"/>
      <c r="AM58" s="17"/>
      <c r="AN58" s="17"/>
      <c r="AR58" s="17"/>
    </row>
    <row r="59" spans="13:47" x14ac:dyDescent="0.35">
      <c r="M59" s="61" t="s">
        <v>524</v>
      </c>
      <c r="N59" s="13"/>
      <c r="Q59" s="44">
        <f t="shared" si="38"/>
        <v>6381.7542092395897</v>
      </c>
      <c r="R59" t="s">
        <v>496</v>
      </c>
      <c r="Y59" s="11"/>
      <c r="AD59" s="11"/>
      <c r="AI59" s="11"/>
      <c r="AK59" s="11"/>
      <c r="AM59" s="11"/>
      <c r="AN59" s="11"/>
      <c r="AR59" s="11"/>
    </row>
    <row r="60" spans="13:47" x14ac:dyDescent="0.35">
      <c r="M60" s="13"/>
      <c r="N60" s="13"/>
      <c r="Y60" s="11"/>
      <c r="AD60" s="11"/>
      <c r="AI60" s="11"/>
      <c r="AK60" s="11"/>
      <c r="AM60" s="11"/>
      <c r="AN60" s="11"/>
      <c r="AR60" s="11"/>
    </row>
    <row r="61" spans="13:47" x14ac:dyDescent="0.35">
      <c r="M61" s="61" t="s">
        <v>525</v>
      </c>
      <c r="Q61" s="44">
        <f>AQ47</f>
        <v>6327.4930326477152</v>
      </c>
      <c r="R61" t="s">
        <v>496</v>
      </c>
    </row>
    <row r="62" spans="13:47" x14ac:dyDescent="0.35">
      <c r="M62" s="61" t="s">
        <v>526</v>
      </c>
      <c r="P62" s="17"/>
      <c r="Q62" s="44">
        <f t="shared" ref="Q62:Q63" si="39">AQ48</f>
        <v>5331.4020530682701</v>
      </c>
      <c r="R62" t="s">
        <v>496</v>
      </c>
      <c r="S62" s="16"/>
      <c r="T62" s="16"/>
      <c r="V62" s="16"/>
      <c r="W62" s="16"/>
      <c r="X62" s="16"/>
      <c r="Y62" s="16"/>
      <c r="AA62" s="16"/>
      <c r="AB62" s="16"/>
      <c r="AC62" s="16"/>
      <c r="AD62" s="16"/>
      <c r="AF62" s="16"/>
      <c r="AG62" s="16"/>
      <c r="AH62" s="16"/>
      <c r="AI62" s="16"/>
      <c r="AK62" s="16"/>
      <c r="AL62" s="16"/>
      <c r="AM62" s="16"/>
      <c r="AN62" s="16"/>
      <c r="AR62" s="16"/>
    </row>
    <row r="63" spans="13:47" x14ac:dyDescent="0.35">
      <c r="M63" s="61" t="s">
        <v>527</v>
      </c>
      <c r="N63" s="13"/>
      <c r="Q63" s="44">
        <f t="shared" si="39"/>
        <v>4467.2279464677122</v>
      </c>
      <c r="R63" t="s">
        <v>496</v>
      </c>
      <c r="S63" s="15"/>
      <c r="T63" s="15"/>
      <c r="V63" s="15"/>
      <c r="W63" s="15"/>
      <c r="X63" s="15"/>
      <c r="Y63" s="15"/>
      <c r="AA63" s="15"/>
      <c r="AB63" s="15"/>
      <c r="AC63" s="15"/>
      <c r="AD63" s="15"/>
      <c r="AF63" s="15"/>
      <c r="AG63" s="15"/>
      <c r="AH63" s="15"/>
      <c r="AI63" s="15"/>
      <c r="AK63" s="15"/>
      <c r="AL63" s="15"/>
      <c r="AM63" s="15"/>
      <c r="AN63" s="15"/>
      <c r="AR63" s="15"/>
    </row>
    <row r="64" spans="13:47" x14ac:dyDescent="0.35">
      <c r="M64" s="13"/>
      <c r="N64" s="13"/>
    </row>
    <row r="67" spans="13:44" x14ac:dyDescent="0.35">
      <c r="M67" s="13"/>
      <c r="N67" s="13"/>
      <c r="Y67" s="11"/>
      <c r="AD67" s="11"/>
      <c r="AI67" s="11"/>
      <c r="AK67" s="11"/>
      <c r="AM67" s="11"/>
      <c r="AN67" s="11"/>
      <c r="AR67" s="11"/>
    </row>
    <row r="68" spans="13:44" x14ac:dyDescent="0.35">
      <c r="M68" s="13"/>
      <c r="N68" s="13"/>
    </row>
    <row r="69" spans="13:44" x14ac:dyDescent="0.35">
      <c r="M69" s="13"/>
      <c r="N69" s="13"/>
    </row>
    <row r="70" spans="13:44" x14ac:dyDescent="0.35">
      <c r="M70" s="13"/>
      <c r="N70" s="13"/>
    </row>
    <row r="72" spans="13:44" x14ac:dyDescent="0.35">
      <c r="M72" s="13"/>
      <c r="N72" s="13"/>
    </row>
    <row r="73" spans="13:44" x14ac:dyDescent="0.35">
      <c r="M73" s="13"/>
      <c r="N73" s="13"/>
    </row>
    <row r="74" spans="13:44" x14ac:dyDescent="0.35">
      <c r="M74" s="13"/>
      <c r="N74" s="13"/>
    </row>
    <row r="75" spans="13:44" x14ac:dyDescent="0.35">
      <c r="M75" s="13"/>
      <c r="N75" s="13"/>
    </row>
    <row r="76" spans="13:44" x14ac:dyDescent="0.35">
      <c r="M76" s="13"/>
      <c r="N76" s="13"/>
    </row>
    <row r="77" spans="13:44" x14ac:dyDescent="0.35">
      <c r="M77" s="13"/>
      <c r="N77" s="13"/>
    </row>
    <row r="78" spans="13:44" x14ac:dyDescent="0.35">
      <c r="M78" s="13"/>
      <c r="N78" s="13"/>
    </row>
    <row r="79" spans="13:44" x14ac:dyDescent="0.35">
      <c r="M79" s="13"/>
      <c r="N79" s="13"/>
    </row>
    <row r="80" spans="13:44" x14ac:dyDescent="0.35">
      <c r="M80" s="13"/>
      <c r="N80" s="13"/>
    </row>
    <row r="81" spans="16:38" x14ac:dyDescent="0.35">
      <c r="P81" s="5"/>
      <c r="Q81" s="4"/>
      <c r="R81" s="4"/>
      <c r="S81" s="4"/>
      <c r="T81" s="4"/>
      <c r="V81" s="4"/>
      <c r="W81" s="4"/>
      <c r="X81" s="4"/>
      <c r="AA81" s="4"/>
      <c r="AB81" s="4"/>
      <c r="AC81" s="4"/>
      <c r="AF81" s="4"/>
      <c r="AG81" s="4"/>
      <c r="AH81" s="4"/>
      <c r="AL81" s="4"/>
    </row>
  </sheetData>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2CDD4FF5C0C84D9F12A11D34697CAE" ma:contentTypeVersion="2" ma:contentTypeDescription="Een nieuw document maken." ma:contentTypeScope="" ma:versionID="c2887bbff7816d3fb6fa6c9428323b18">
  <xsd:schema xmlns:xsd="http://www.w3.org/2001/XMLSchema" xmlns:xs="http://www.w3.org/2001/XMLSchema" xmlns:p="http://schemas.microsoft.com/office/2006/metadata/properties" xmlns:ns2="2ccfa075-9b02-4569-9942-f2bd66e1b7bd" targetNamespace="http://schemas.microsoft.com/office/2006/metadata/properties" ma:root="true" ma:fieldsID="efb89e4727943afecea8e7a8dcdc8d25" ns2:_="">
    <xsd:import namespace="2ccfa075-9b02-4569-9942-f2bd66e1b7b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fa075-9b02-4569-9942-f2bd66e1b7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D0300-81FD-473B-92E2-BC35FB0C235A}">
  <ds:schemaRef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terms/"/>
    <ds:schemaRef ds:uri="2ccfa075-9b02-4569-9942-f2bd66e1b7bd"/>
    <ds:schemaRef ds:uri="http://purl.org/dc/elements/1.1/"/>
  </ds:schemaRefs>
</ds:datastoreItem>
</file>

<file path=customXml/itemProps2.xml><?xml version="1.0" encoding="utf-8"?>
<ds:datastoreItem xmlns:ds="http://schemas.openxmlformats.org/officeDocument/2006/customXml" ds:itemID="{C3AB520E-224B-4BEA-87F1-B9C7EC46E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fa075-9b02-4569-9942-f2bd66e1b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E84E9C-068A-4167-83AE-05F64B323C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Toelichting</vt:lpstr>
      <vt:lpstr>Invoer aardgas</vt:lpstr>
      <vt:lpstr>Invoer elektriciteit</vt:lpstr>
      <vt:lpstr>Resultaat</vt:lpstr>
      <vt:lpstr>Invoer website</vt:lpstr>
      <vt:lpstr>Energieprijzen kmo's</vt:lpstr>
      <vt:lpstr>Maandelijks verbruik</vt:lpstr>
      <vt:lpstr>SLP</vt:lpstr>
      <vt:lpstr>Berekening gas</vt:lpstr>
      <vt:lpstr>Berekening elektriciteit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Stassen, Bert</dc:creator>
  <cp:keywords/>
  <dc:description/>
  <cp:lastModifiedBy>Laenen Korinne</cp:lastModifiedBy>
  <cp:revision/>
  <dcterms:created xsi:type="dcterms:W3CDTF">2022-11-01T13:37:32Z</dcterms:created>
  <dcterms:modified xsi:type="dcterms:W3CDTF">2023-04-21T13:51:05Z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0x010100A02CDD4FF5C0C84D9F12A11D34697CAE</vt:lpwstr>
  </property>
</Properties>
</file>