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Ex1.xml" ContentType="application/vnd.ms-office.chartex+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codeName="{B6124F1A-AFFB-F854-7757-9A1D4C6FC43C}"/>
  <workbookPr codeName="ThisWorkbook" defaultThemeVersion="166925"/>
  <mc:AlternateContent xmlns:mc="http://schemas.openxmlformats.org/markup-compatibility/2006">
    <mc:Choice Requires="x15">
      <x15ac:absPath xmlns:x15ac="http://schemas.microsoft.com/office/spreadsheetml/2010/11/ac" url="https://vitoresearch.sharepoint.com/sites/vlaio-tender-tea-lca/Shared Documents/General/4 Working documents/Phase 2. Template/"/>
    </mc:Choice>
  </mc:AlternateContent>
  <xr:revisionPtr revIDLastSave="1775" documentId="11_2C708FFF6C5D7875D84DB3E1600811D0EE7E3AAB" xr6:coauthVersionLast="47" xr6:coauthVersionMax="47" xr10:uidLastSave="{2FB22174-24BF-4B23-9D5D-BE492BD8CAC8}"/>
  <bookViews>
    <workbookView xWindow="28680" yWindow="-120" windowWidth="29040" windowHeight="15840" tabRatio="856" xr2:uid="{00000000-000D-0000-FFFF-FFFF00000000}"/>
  </bookViews>
  <sheets>
    <sheet name="Intro" sheetId="1" r:id="rId1"/>
    <sheet name="Dashboard results" sheetId="17" r:id="rId2"/>
    <sheet name="Project" sheetId="3" r:id="rId3"/>
    <sheet name="Technology" sheetId="6" r:id="rId4"/>
    <sheet name="Market " sheetId="12" r:id="rId5"/>
    <sheet name="Pathway definition and results" sheetId="11" r:id="rId6"/>
    <sheet name="Data - technical" sheetId="2" r:id="rId7"/>
    <sheet name="CB_DATA_" sheetId="23" state="veryHidden" r:id="rId8"/>
    <sheet name="Data - economic" sheetId="8" r:id="rId9"/>
    <sheet name="Data - environmental" sheetId="9" r:id="rId10"/>
    <sheet name="Data - general" sheetId="10" r:id="rId11"/>
    <sheet name="1. Pathway 1" sheetId="7" r:id="rId12"/>
    <sheet name="2. Pathway 2" sheetId="18" state="hidden" r:id="rId13"/>
    <sheet name="3. Pathway 3" sheetId="21" state="hidden" r:id="rId14"/>
    <sheet name="4. Pathway 4" sheetId="22" state="hidden" r:id="rId15"/>
    <sheet name="Dropdown list" sheetId="16" state="hidden" r:id="rId16"/>
  </sheets>
  <externalReferences>
    <externalReference r:id="rId17"/>
  </externalReferences>
  <definedNames>
    <definedName name="_xlchart.v1.0" hidden="1">'1. Pathway 1'!$B$189:$B$200</definedName>
    <definedName name="_xlchart.v1.1" hidden="1">'1. Pathway 1'!$D$189:$D$200</definedName>
    <definedName name="CB_05d0a0cd74464f58b82949b5af9da4af" localSheetId="6" hidden="1">'Data - technical'!$I$20</definedName>
    <definedName name="CB_56deffeb112d40c59d46cf8f104d25ba" localSheetId="11" hidden="1">'1. Pathway 1'!$D$143</definedName>
    <definedName name="CB_Block_00000000000000000000000000000000" localSheetId="11" hidden="1">"'7.0.0.0"</definedName>
    <definedName name="CB_Block_00000000000000000000000000000000" localSheetId="7" hidden="1">"'7.0.0.0"</definedName>
    <definedName name="CB_Block_00000000000000000000000000000000" localSheetId="6" hidden="1">"'7.0.0.0"</definedName>
    <definedName name="CB_Block_00000000000000000000000000000001" localSheetId="11" hidden="1">"'638219242303643941"</definedName>
    <definedName name="CB_Block_00000000000000000000000000000001" localSheetId="7" hidden="1">"'638219242303673985"</definedName>
    <definedName name="CB_Block_00000000000000000000000000000001" localSheetId="6" hidden="1">"'638219242303943989"</definedName>
    <definedName name="CB_Block_00000000000000000000000000000003" localSheetId="11" hidden="1">"'11.1.4716.0"</definedName>
    <definedName name="CB_Block_00000000000000000000000000000003" localSheetId="7" hidden="1">"'11.1.4716.0"</definedName>
    <definedName name="CB_Block_00000000000000000000000000000003" localSheetId="6" hidden="1">"'11.1.4716.0"</definedName>
    <definedName name="CB_BlockExt_00000000000000000000000000000003" localSheetId="11" hidden="1">"'11.1.2.4.850"</definedName>
    <definedName name="CB_BlockExt_00000000000000000000000000000003" localSheetId="7" hidden="1">"'11.1.2.4.850"</definedName>
    <definedName name="CB_BlockExt_00000000000000000000000000000003" localSheetId="6" hidden="1">"'11.1.2.4.850"</definedName>
    <definedName name="CB_da33ea22db4d48abbf7ca228886424f1" localSheetId="6" hidden="1">'Data - technical'!$I$16</definedName>
    <definedName name="CB_dd7c3f1d2469404da760ebe8173f8ab1" localSheetId="7" hidden="1">#N/A</definedName>
    <definedName name="CBWorkbookPriority" localSheetId="7" hidden="1">-2723236377521080</definedName>
    <definedName name="CBx_2064e1ed4ab943f292b52f722344881e" localSheetId="7" hidden="1">"'1. Pathway 1'!$A$1"</definedName>
    <definedName name="CBx_53986a65f7704a518b7773507703699a" localSheetId="7" hidden="1">"'CB_DATA_'!$A$1"</definedName>
    <definedName name="CBx_591af63aa78640c3acbe8924f4d9752f" localSheetId="7" hidden="1">"'Data - technical'!$A$1"</definedName>
    <definedName name="CBx_Sheet_Guid" localSheetId="11" hidden="1">"'2064e1ed-4ab9-43f2-92b5-2f722344881e"</definedName>
    <definedName name="CBx_Sheet_Guid" localSheetId="7" hidden="1">"'53986a65-f770-4a51-8b77-73507703699a"</definedName>
    <definedName name="CBx_Sheet_Guid" localSheetId="6" hidden="1">"'591af63a-a786-40c3-acbe-8924f4d9752f"</definedName>
    <definedName name="CBx_SheetRef" localSheetId="11" hidden="1">CB_DATA_!$C$14</definedName>
    <definedName name="CBx_SheetRef" localSheetId="7" hidden="1">CB_DATA_!$A$14</definedName>
    <definedName name="CBx_SheetRef" localSheetId="6" hidden="1">CB_DATA_!$B$14</definedName>
    <definedName name="CBx_StorageType" localSheetId="11" hidden="1">2</definedName>
    <definedName name="CBx_StorageType" localSheetId="7" hidden="1">2</definedName>
    <definedName name="CBx_StorageType" localSheetId="6" hidden="1">2</definedName>
    <definedName name="Critical_elements" localSheetId="12">[1]!Table_elements[Critical Raw Materials included in catalysts]</definedName>
    <definedName name="Critical_elements" localSheetId="13">[1]!Table_elements[Critical Raw Materials included in catalysts]</definedName>
    <definedName name="Critical_elements" localSheetId="14">[1]!Table_elements[Critical Raw Materials included in catalysts]</definedName>
    <definedName name="Critical_elements" localSheetId="1">[1]!Table_elements[Critical Raw Materials included in catalysts]</definedName>
    <definedName name="Critical_elements">Table_elements[Critical Raw Materials included in catalysts]</definedName>
    <definedName name="e_debt_ratio" localSheetId="1">'[1]Data - economic'!$F$13</definedName>
    <definedName name="e_debt_ratio">'Data - economic'!$F$13</definedName>
    <definedName name="e_discountrate_nominal">'Data - economic'!$F$10</definedName>
    <definedName name="e_discountrate_real">'Data - economic'!$F$11</definedName>
    <definedName name="e_ecolifetime_yr" localSheetId="1">'[1]Data - economic'!$F$18</definedName>
    <definedName name="e_ecolifetime_yr">'Data - economic'!$F$18</definedName>
    <definedName name="e_equity_ratio">'Data - economic'!$F$12</definedName>
    <definedName name="e_inflationrate">'Data - economic'!$F$15</definedName>
    <definedName name="e_interestrate" localSheetId="1">'[1]Data - economic'!$F$14</definedName>
    <definedName name="e_interestrate">'Data - economic'!$F$14</definedName>
    <definedName name="e_taxrate_BE" localSheetId="1">'[1]Data - economic'!$F$17</definedName>
    <definedName name="e_taxrate_BE">'Data - economic'!$F$17</definedName>
    <definedName name="e_WACC" localSheetId="1">'[1]Data - economic'!$F$16</definedName>
    <definedName name="e_WACC">'Data - economic'!$F$16</definedName>
    <definedName name="sc1_economic" localSheetId="12">'2. Pathway 2'!$B$78</definedName>
    <definedName name="sc1_economic" localSheetId="13">'3. Pathway 3'!$B$78</definedName>
    <definedName name="sc1_economic" localSheetId="14">'4. Pathway 4'!$B$78</definedName>
    <definedName name="sc1_economic">'1. Pathway 1'!$B$80</definedName>
    <definedName name="sc1_environmental" localSheetId="12">'2. Pathway 2'!$B$145</definedName>
    <definedName name="sc1_environmental" localSheetId="13">'3. Pathway 3'!$B$145</definedName>
    <definedName name="sc1_environmental" localSheetId="14">'4. Pathway 4'!$B$145</definedName>
    <definedName name="sc1_environmental">'1. Pathway 1'!$B$148</definedName>
    <definedName name="sc1_sensitivity" localSheetId="12">'2. Pathway 2'!$B$184</definedName>
    <definedName name="sc1_sensitivity" localSheetId="13">'3. Pathway 3'!$B$184</definedName>
    <definedName name="sc1_sensitivity" localSheetId="14">'4. Pathway 4'!$B$184</definedName>
    <definedName name="sc1_sensitivity">'1. Pathway 1'!$B$185</definedName>
    <definedName name="sc1_technical" localSheetId="12">'2. Pathway 2'!$B$30</definedName>
    <definedName name="sc1_technical" localSheetId="13">'3. Pathway 3'!$B$30</definedName>
    <definedName name="sc1_technical" localSheetId="14">'4. Pathway 4'!$B$30</definedName>
    <definedName name="sc1_technical">'1. Pathway 1'!$B$22</definedName>
    <definedName name="Solvents" localSheetId="12">[1]!Table_solvent[Solvents]</definedName>
    <definedName name="Solvents" localSheetId="13">[1]!Table_solvent[Solvents]</definedName>
    <definedName name="Solvents" localSheetId="14">[1]!Table_solvent[Solvents]</definedName>
    <definedName name="Solvents" localSheetId="1">[1]!Table_solvent[Solvents]</definedName>
    <definedName name="Solvents">Table_solvent[Solvents]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9" l="1"/>
  <c r="E25" i="7"/>
  <c r="E35" i="7"/>
  <c r="E36" i="7"/>
  <c r="E32" i="7"/>
  <c r="E34" i="7"/>
  <c r="G36" i="7"/>
  <c r="E164" i="7"/>
  <c r="C11" i="23"/>
  <c r="B11" i="23"/>
  <c r="A11" i="23"/>
  <c r="D77" i="7"/>
  <c r="H26" i="7"/>
  <c r="I24" i="9"/>
  <c r="D74" i="17"/>
  <c r="D73" i="17"/>
  <c r="D72" i="17"/>
  <c r="D71" i="17"/>
  <c r="I127" i="17"/>
  <c r="J127" i="17"/>
  <c r="K127" i="17"/>
  <c r="I128" i="17"/>
  <c r="J128" i="17"/>
  <c r="K128" i="17"/>
  <c r="I99" i="17"/>
  <c r="J99" i="17"/>
  <c r="K99" i="17"/>
  <c r="I100" i="17"/>
  <c r="J100" i="17"/>
  <c r="K100" i="17"/>
  <c r="I102" i="17"/>
  <c r="J102" i="17"/>
  <c r="K102" i="17"/>
  <c r="I74" i="17"/>
  <c r="J74" i="17"/>
  <c r="K74" i="17"/>
  <c r="I63" i="17"/>
  <c r="J63" i="17"/>
  <c r="K63" i="17"/>
  <c r="I65" i="17"/>
  <c r="J65" i="17"/>
  <c r="K65" i="17"/>
  <c r="I71" i="17"/>
  <c r="J71" i="17"/>
  <c r="K71" i="17"/>
  <c r="I72" i="17"/>
  <c r="J72" i="17"/>
  <c r="K72" i="17"/>
  <c r="I73" i="17"/>
  <c r="J73" i="17"/>
  <c r="K73" i="17"/>
  <c r="K33" i="17"/>
  <c r="K34" i="17"/>
  <c r="K35" i="17"/>
  <c r="K36" i="17"/>
  <c r="K37" i="17"/>
  <c r="J33" i="17"/>
  <c r="J34" i="17"/>
  <c r="J35" i="17"/>
  <c r="J36" i="17"/>
  <c r="J37" i="17"/>
  <c r="I33" i="17"/>
  <c r="I34" i="17"/>
  <c r="I35" i="17"/>
  <c r="I36" i="17"/>
  <c r="I37" i="17"/>
  <c r="I32" i="17"/>
  <c r="J32" i="17"/>
  <c r="K32" i="17"/>
  <c r="H66" i="11"/>
  <c r="H65" i="11"/>
  <c r="H64" i="11"/>
  <c r="H62" i="11"/>
  <c r="H61" i="11"/>
  <c r="G61" i="11"/>
  <c r="G66" i="11"/>
  <c r="G65" i="11"/>
  <c r="G64" i="11"/>
  <c r="G62" i="11"/>
  <c r="F61" i="11"/>
  <c r="F66" i="11"/>
  <c r="F65" i="11"/>
  <c r="F62" i="11"/>
  <c r="F64" i="11"/>
  <c r="H58" i="11"/>
  <c r="H59" i="11"/>
  <c r="H60" i="11"/>
  <c r="G58" i="11"/>
  <c r="G59" i="11"/>
  <c r="G60" i="11"/>
  <c r="F58" i="11"/>
  <c r="F59" i="11"/>
  <c r="F60" i="11"/>
  <c r="H52" i="11"/>
  <c r="G52" i="11"/>
  <c r="F52" i="11"/>
  <c r="H50" i="11"/>
  <c r="G50" i="11"/>
  <c r="F50" i="11"/>
  <c r="H45" i="11"/>
  <c r="H46" i="11"/>
  <c r="H47" i="11"/>
  <c r="H48" i="11"/>
  <c r="H49" i="11"/>
  <c r="H44" i="11"/>
  <c r="G44" i="11"/>
  <c r="G45" i="11"/>
  <c r="G46" i="11"/>
  <c r="G47" i="11"/>
  <c r="G48" i="11"/>
  <c r="G49" i="11"/>
  <c r="F44" i="11"/>
  <c r="F45" i="11"/>
  <c r="F46" i="11"/>
  <c r="F47" i="11"/>
  <c r="F48" i="11"/>
  <c r="F49" i="11"/>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AI90" i="22"/>
  <c r="AH90" i="22"/>
  <c r="AG90" i="22"/>
  <c r="AF90" i="22"/>
  <c r="AE90" i="22"/>
  <c r="AD90" i="22"/>
  <c r="AC90" i="22"/>
  <c r="AB90" i="22"/>
  <c r="AA90" i="22"/>
  <c r="Z90" i="22"/>
  <c r="Y90" i="22"/>
  <c r="X90" i="22"/>
  <c r="W90" i="22"/>
  <c r="V90" i="22"/>
  <c r="U90"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AI87" i="22"/>
  <c r="AH87" i="22"/>
  <c r="AG87" i="22"/>
  <c r="AF87" i="22"/>
  <c r="AE87" i="22"/>
  <c r="AD87" i="22"/>
  <c r="AC87" i="22"/>
  <c r="AB87" i="22"/>
  <c r="AA87" i="22"/>
  <c r="Z87" i="22"/>
  <c r="Y87" i="22"/>
  <c r="X87" i="22"/>
  <c r="W87" i="22"/>
  <c r="V87" i="22"/>
  <c r="U87" i="22"/>
  <c r="U86" i="22"/>
  <c r="T87" i="22"/>
  <c r="S87" i="22"/>
  <c r="R87" i="22"/>
  <c r="Q87" i="22"/>
  <c r="P87" i="22"/>
  <c r="O87" i="22"/>
  <c r="N87" i="22"/>
  <c r="M87" i="22"/>
  <c r="L87" i="22"/>
  <c r="K87" i="22"/>
  <c r="J87" i="22"/>
  <c r="I87" i="22"/>
  <c r="H87" i="22"/>
  <c r="G87" i="22"/>
  <c r="F87" i="22"/>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AI90" i="21"/>
  <c r="AH90" i="21"/>
  <c r="AG90" i="21"/>
  <c r="AF90" i="21"/>
  <c r="AE90" i="21"/>
  <c r="AD90" i="21"/>
  <c r="AC90" i="21"/>
  <c r="AB90" i="21"/>
  <c r="AA90" i="21"/>
  <c r="Z90" i="21"/>
  <c r="Y90" i="21"/>
  <c r="X90" i="21"/>
  <c r="W90" i="21"/>
  <c r="V90" i="21"/>
  <c r="U90"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G92" i="18"/>
  <c r="H92" i="18"/>
  <c r="I92" i="18"/>
  <c r="J92" i="18"/>
  <c r="K92" i="18"/>
  <c r="L92" i="18"/>
  <c r="M92" i="18"/>
  <c r="N92" i="18"/>
  <c r="O92" i="18"/>
  <c r="P92" i="18"/>
  <c r="Q92" i="18"/>
  <c r="R92" i="18"/>
  <c r="S92" i="18"/>
  <c r="T92" i="18"/>
  <c r="U92" i="18"/>
  <c r="V92" i="18"/>
  <c r="W92" i="18"/>
  <c r="X92" i="18"/>
  <c r="Y92" i="18"/>
  <c r="Z92" i="18"/>
  <c r="AA92" i="18"/>
  <c r="AB92" i="18"/>
  <c r="AC92" i="18"/>
  <c r="AD92" i="18"/>
  <c r="AE92" i="18"/>
  <c r="AF92" i="18"/>
  <c r="AG92" i="18"/>
  <c r="AH92" i="18"/>
  <c r="AI92" i="18"/>
  <c r="F92" i="18"/>
  <c r="G91" i="18"/>
  <c r="H91" i="18"/>
  <c r="I91" i="18"/>
  <c r="J91" i="18"/>
  <c r="K91" i="18"/>
  <c r="L91" i="18"/>
  <c r="M91" i="18"/>
  <c r="N91" i="18"/>
  <c r="O91" i="18"/>
  <c r="P91" i="18"/>
  <c r="Q91" i="18"/>
  <c r="R91" i="18"/>
  <c r="S91" i="18"/>
  <c r="T91" i="18"/>
  <c r="U91" i="18"/>
  <c r="V91" i="18"/>
  <c r="W91" i="18"/>
  <c r="X91" i="18"/>
  <c r="Y91" i="18"/>
  <c r="Z91" i="18"/>
  <c r="AA91" i="18"/>
  <c r="AB91" i="18"/>
  <c r="AC91" i="18"/>
  <c r="AD91" i="18"/>
  <c r="AE91" i="18"/>
  <c r="AF91" i="18"/>
  <c r="AG91" i="18"/>
  <c r="AH91" i="18"/>
  <c r="AI91" i="18"/>
  <c r="F91" i="18"/>
  <c r="U90" i="18"/>
  <c r="V90" i="18"/>
  <c r="W90" i="18"/>
  <c r="X90" i="18"/>
  <c r="Y90" i="18"/>
  <c r="Z90" i="18"/>
  <c r="AA90" i="18"/>
  <c r="AB90" i="18"/>
  <c r="AC90" i="18"/>
  <c r="AD90" i="18"/>
  <c r="AE90" i="18"/>
  <c r="AF90" i="18"/>
  <c r="AG90" i="18"/>
  <c r="AH90" i="18"/>
  <c r="AI90" i="18"/>
  <c r="G88" i="18"/>
  <c r="H88" i="18"/>
  <c r="I88" i="18"/>
  <c r="J88" i="18"/>
  <c r="K88" i="18"/>
  <c r="L88" i="18"/>
  <c r="M88" i="18"/>
  <c r="N88" i="18"/>
  <c r="O88" i="18"/>
  <c r="P88" i="18"/>
  <c r="Q88" i="18"/>
  <c r="R88" i="18"/>
  <c r="S88" i="18"/>
  <c r="T88" i="18"/>
  <c r="U88" i="18"/>
  <c r="V88" i="18"/>
  <c r="W88" i="18"/>
  <c r="X88" i="18"/>
  <c r="Y88" i="18"/>
  <c r="Z88" i="18"/>
  <c r="AA88" i="18"/>
  <c r="AB88" i="18"/>
  <c r="AC88" i="18"/>
  <c r="AD88" i="18"/>
  <c r="AE88" i="18"/>
  <c r="AF88" i="18"/>
  <c r="AG88" i="18"/>
  <c r="AH88" i="18"/>
  <c r="AI88" i="18"/>
  <c r="F88" i="18"/>
  <c r="K90" i="22"/>
  <c r="F87" i="18"/>
  <c r="G87" i="18"/>
  <c r="H87" i="18"/>
  <c r="I87" i="18"/>
  <c r="J87" i="18"/>
  <c r="K87" i="18"/>
  <c r="L87" i="18"/>
  <c r="M87" i="18"/>
  <c r="N87" i="18"/>
  <c r="O87" i="18"/>
  <c r="P87" i="18"/>
  <c r="Q87" i="18"/>
  <c r="R87" i="18"/>
  <c r="S87" i="18"/>
  <c r="T87" i="18"/>
  <c r="U87" i="18"/>
  <c r="V87" i="18"/>
  <c r="W87" i="18"/>
  <c r="X87" i="18"/>
  <c r="Y87" i="18"/>
  <c r="Z87" i="18"/>
  <c r="AA87" i="18"/>
  <c r="AB87" i="18"/>
  <c r="AC87" i="18"/>
  <c r="AD87" i="18"/>
  <c r="AE87" i="18"/>
  <c r="AF87" i="18"/>
  <c r="AG87" i="18"/>
  <c r="AH87" i="18"/>
  <c r="AI87" i="18"/>
  <c r="B4" i="22"/>
  <c r="C181" i="22"/>
  <c r="C180" i="22"/>
  <c r="C177" i="22"/>
  <c r="C175" i="22"/>
  <c r="D174" i="22"/>
  <c r="H63" i="11"/>
  <c r="K101" i="17"/>
  <c r="C173" i="22"/>
  <c r="C172" i="22"/>
  <c r="E166" i="22"/>
  <c r="E165" i="22"/>
  <c r="E164" i="22"/>
  <c r="E163" i="22"/>
  <c r="E160" i="22"/>
  <c r="E159" i="22"/>
  <c r="E158" i="22"/>
  <c r="E157" i="22"/>
  <c r="E156" i="22"/>
  <c r="E155" i="22"/>
  <c r="E153" i="22"/>
  <c r="E152" i="22"/>
  <c r="E151" i="22"/>
  <c r="E150" i="22"/>
  <c r="E149" i="22"/>
  <c r="E148" i="22"/>
  <c r="C142" i="22"/>
  <c r="C141" i="22"/>
  <c r="C140" i="22"/>
  <c r="AI122" i="22" a="1"/>
  <c r="AI122" i="22"/>
  <c r="AH122" i="22" a="1"/>
  <c r="AH122" i="22"/>
  <c r="AG122" i="22" a="1"/>
  <c r="AG122" i="22"/>
  <c r="AF122" i="22" a="1"/>
  <c r="AF122" i="22"/>
  <c r="AE122" i="22" a="1"/>
  <c r="AE122" i="22"/>
  <c r="AD122" i="22" a="1"/>
  <c r="AD122" i="22"/>
  <c r="AC122" i="22" a="1"/>
  <c r="AC122" i="22"/>
  <c r="AB122" i="22" a="1"/>
  <c r="AB122" i="22"/>
  <c r="AA122" i="22" a="1"/>
  <c r="AA122" i="22"/>
  <c r="Z122" i="22" a="1"/>
  <c r="Z122" i="22"/>
  <c r="Y122" i="22" a="1"/>
  <c r="Y122" i="22"/>
  <c r="X122" i="22" a="1"/>
  <c r="X122" i="22"/>
  <c r="W122" i="22" a="1"/>
  <c r="W122" i="22"/>
  <c r="V122" i="22" a="1"/>
  <c r="V122" i="22"/>
  <c r="U122" i="22" a="1"/>
  <c r="U122" i="22"/>
  <c r="AI121" i="22" a="1"/>
  <c r="AI121" i="22"/>
  <c r="AH121" i="22" a="1"/>
  <c r="AH121" i="22"/>
  <c r="AG121" i="22" a="1"/>
  <c r="AG121" i="22"/>
  <c r="AF121" i="22" a="1"/>
  <c r="AF121" i="22"/>
  <c r="AE121" i="22" a="1"/>
  <c r="AE121" i="22"/>
  <c r="AD121" i="22" a="1"/>
  <c r="AD121" i="22"/>
  <c r="AC121" i="22" a="1"/>
  <c r="AC121" i="22"/>
  <c r="AB121" i="22" a="1"/>
  <c r="AB121" i="22"/>
  <c r="AA121" i="22" a="1"/>
  <c r="AA121" i="22"/>
  <c r="Z121" i="22" a="1"/>
  <c r="Z121" i="22"/>
  <c r="Y121" i="22" a="1"/>
  <c r="Y121" i="22"/>
  <c r="X121" i="22" a="1"/>
  <c r="X121" i="22"/>
  <c r="W121" i="22" a="1"/>
  <c r="W121" i="22"/>
  <c r="V121" i="22" a="1"/>
  <c r="V121" i="22"/>
  <c r="U121" i="22" a="1"/>
  <c r="U121"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AG86" i="22"/>
  <c r="Y86" i="22"/>
  <c r="AC86"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H64" i="22"/>
  <c r="H63" i="22"/>
  <c r="H62" i="22"/>
  <c r="H61" i="22"/>
  <c r="H58" i="22"/>
  <c r="H56" i="22"/>
  <c r="H55" i="22"/>
  <c r="H54" i="22"/>
  <c r="H53" i="22"/>
  <c r="H51" i="22"/>
  <c r="H50" i="22"/>
  <c r="H47" i="22"/>
  <c r="H46" i="22"/>
  <c r="H45" i="22"/>
  <c r="H44" i="22"/>
  <c r="H41" i="22"/>
  <c r="H39" i="22"/>
  <c r="H38" i="22"/>
  <c r="H37" i="22"/>
  <c r="H36" i="22"/>
  <c r="H34" i="22"/>
  <c r="H33" i="22"/>
  <c r="B4" i="21"/>
  <c r="B4" i="18"/>
  <c r="C181" i="21"/>
  <c r="C180" i="21"/>
  <c r="C177" i="21"/>
  <c r="C175" i="21"/>
  <c r="D174" i="21"/>
  <c r="G63" i="11"/>
  <c r="J101" i="17"/>
  <c r="C173" i="21"/>
  <c r="C172" i="21"/>
  <c r="E166" i="21"/>
  <c r="E165" i="21"/>
  <c r="E164" i="21"/>
  <c r="E163" i="21"/>
  <c r="E160" i="21"/>
  <c r="E159" i="21"/>
  <c r="E158" i="21"/>
  <c r="E157" i="21"/>
  <c r="E156" i="21"/>
  <c r="E155" i="21"/>
  <c r="E153" i="21"/>
  <c r="E152" i="21"/>
  <c r="E151" i="21"/>
  <c r="E150" i="21"/>
  <c r="E149" i="21"/>
  <c r="E148" i="21"/>
  <c r="C142" i="21"/>
  <c r="C141" i="21"/>
  <c r="C140" i="21"/>
  <c r="AI122" i="21" a="1"/>
  <c r="AI122" i="21"/>
  <c r="AH122" i="21" a="1"/>
  <c r="AH122" i="21"/>
  <c r="AG122" i="21" a="1"/>
  <c r="AG122" i="21"/>
  <c r="AF122" i="21" a="1"/>
  <c r="AF122" i="21"/>
  <c r="AE122" i="21" a="1"/>
  <c r="AE122" i="21"/>
  <c r="AD122" i="21" a="1"/>
  <c r="AD122" i="21"/>
  <c r="AC122" i="21" a="1"/>
  <c r="AC122" i="21"/>
  <c r="AB122" i="21" a="1"/>
  <c r="AB122" i="21"/>
  <c r="AA122" i="21" a="1"/>
  <c r="AA122" i="21"/>
  <c r="Z122" i="21" a="1"/>
  <c r="Z122" i="21"/>
  <c r="Y122" i="21" a="1"/>
  <c r="Y122" i="21"/>
  <c r="X122" i="21" a="1"/>
  <c r="X122" i="21"/>
  <c r="W122" i="21" a="1"/>
  <c r="W122" i="21"/>
  <c r="V122" i="21" a="1"/>
  <c r="V122" i="21"/>
  <c r="U122" i="21" a="1"/>
  <c r="U122" i="21"/>
  <c r="AI121" i="21" a="1"/>
  <c r="AI121" i="21"/>
  <c r="AH121" i="21" a="1"/>
  <c r="AH121" i="21"/>
  <c r="AG121" i="21" a="1"/>
  <c r="AG121" i="21"/>
  <c r="AF121" i="21" a="1"/>
  <c r="AF121" i="21"/>
  <c r="AE121" i="21" a="1"/>
  <c r="AE121" i="21"/>
  <c r="AD121" i="21" a="1"/>
  <c r="AD121" i="21"/>
  <c r="AC121" i="21" a="1"/>
  <c r="AC121" i="21"/>
  <c r="AB121" i="21" a="1"/>
  <c r="AB121" i="21"/>
  <c r="AA121" i="21" a="1"/>
  <c r="AA121" i="21"/>
  <c r="Z121" i="21" a="1"/>
  <c r="Z121" i="21"/>
  <c r="Y121" i="21" a="1"/>
  <c r="Y121" i="21"/>
  <c r="X121" i="21" a="1"/>
  <c r="X121" i="21"/>
  <c r="W121" i="21" a="1"/>
  <c r="W121" i="21"/>
  <c r="V121" i="21" a="1"/>
  <c r="V121" i="21"/>
  <c r="U121" i="21" a="1"/>
  <c r="U121" i="21"/>
  <c r="E121" i="21"/>
  <c r="O122" i="21" a="1"/>
  <c r="O122" i="21"/>
  <c r="E121" i="21" a="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H64" i="21"/>
  <c r="H63" i="21"/>
  <c r="H62" i="21"/>
  <c r="H61" i="21"/>
  <c r="H58" i="21"/>
  <c r="H56" i="21"/>
  <c r="H55" i="21"/>
  <c r="H54" i="21"/>
  <c r="H53" i="21"/>
  <c r="H51" i="21"/>
  <c r="H50" i="21"/>
  <c r="H47" i="21"/>
  <c r="H46" i="21"/>
  <c r="H45" i="21"/>
  <c r="H44" i="21"/>
  <c r="H41" i="21"/>
  <c r="H39" i="21"/>
  <c r="H38" i="21"/>
  <c r="H37" i="21"/>
  <c r="H36" i="21"/>
  <c r="H34" i="21"/>
  <c r="H33" i="21"/>
  <c r="C181" i="18"/>
  <c r="C180" i="18"/>
  <c r="C177" i="18"/>
  <c r="C175" i="18"/>
  <c r="C142" i="18"/>
  <c r="C141" i="18"/>
  <c r="C140" i="18"/>
  <c r="C173" i="18"/>
  <c r="C172" i="18"/>
  <c r="E166" i="18"/>
  <c r="E164" i="18"/>
  <c r="E165" i="18"/>
  <c r="E163" i="18"/>
  <c r="E156" i="18"/>
  <c r="E157" i="18"/>
  <c r="E158" i="18"/>
  <c r="E159" i="18"/>
  <c r="E160" i="18"/>
  <c r="E155" i="18"/>
  <c r="E149" i="18"/>
  <c r="E150" i="18"/>
  <c r="E151" i="18"/>
  <c r="E152" i="18"/>
  <c r="E153" i="18"/>
  <c r="E148" i="18"/>
  <c r="F151" i="7"/>
  <c r="H64" i="18"/>
  <c r="H63" i="18"/>
  <c r="H62" i="18"/>
  <c r="H61" i="18"/>
  <c r="H58" i="18"/>
  <c r="H56" i="18"/>
  <c r="H55" i="18"/>
  <c r="H54" i="18"/>
  <c r="H53" i="18"/>
  <c r="H51" i="18"/>
  <c r="H50" i="18"/>
  <c r="H41" i="18"/>
  <c r="H44" i="18"/>
  <c r="H47" i="18"/>
  <c r="H46" i="18"/>
  <c r="H45" i="18"/>
  <c r="H39" i="18"/>
  <c r="H38" i="18"/>
  <c r="H37" i="18"/>
  <c r="H36" i="18"/>
  <c r="H41" i="7"/>
  <c r="H34" i="18"/>
  <c r="H33" i="18"/>
  <c r="H46" i="7"/>
  <c r="D174" i="18"/>
  <c r="F63" i="11"/>
  <c r="I101" i="17"/>
  <c r="AI122" i="18" a="1"/>
  <c r="AI122" i="18"/>
  <c r="AH122" i="18" a="1"/>
  <c r="AH122" i="18"/>
  <c r="AG122" i="18" a="1"/>
  <c r="AG122" i="18"/>
  <c r="AF122" i="18" a="1"/>
  <c r="AF122" i="18"/>
  <c r="AE122" i="18" a="1"/>
  <c r="AE122" i="18"/>
  <c r="AD122" i="18" a="1"/>
  <c r="AD122" i="18"/>
  <c r="AC122" i="18" a="1"/>
  <c r="AC122" i="18"/>
  <c r="AB122" i="18" a="1"/>
  <c r="AB122" i="18"/>
  <c r="AA122" i="18" a="1"/>
  <c r="AA122" i="18"/>
  <c r="Z122" i="18" a="1"/>
  <c r="Z122" i="18"/>
  <c r="Y122" i="18" a="1"/>
  <c r="Y122" i="18"/>
  <c r="X122" i="18" a="1"/>
  <c r="X122" i="18"/>
  <c r="W122" i="18" a="1"/>
  <c r="W122" i="18"/>
  <c r="V122" i="18" a="1"/>
  <c r="V122" i="18"/>
  <c r="U122" i="18" a="1"/>
  <c r="U122" i="18"/>
  <c r="AI121" i="18" a="1"/>
  <c r="AI121" i="18"/>
  <c r="AH121" i="18" a="1"/>
  <c r="AH121" i="18"/>
  <c r="AG121" i="18" a="1"/>
  <c r="AG121" i="18"/>
  <c r="AF121" i="18" a="1"/>
  <c r="AF121" i="18"/>
  <c r="AE121" i="18" a="1"/>
  <c r="AE121" i="18"/>
  <c r="AD121" i="18" a="1"/>
  <c r="AD121" i="18"/>
  <c r="AC121" i="18" a="1"/>
  <c r="AC121" i="18"/>
  <c r="AB121" i="18" a="1"/>
  <c r="AB121" i="18"/>
  <c r="AA121" i="18" a="1"/>
  <c r="AA121" i="18"/>
  <c r="Z121" i="18" a="1"/>
  <c r="Z121" i="18"/>
  <c r="Y121" i="18" a="1"/>
  <c r="Y121" i="18"/>
  <c r="X121" i="18" a="1"/>
  <c r="X121" i="18"/>
  <c r="W121" i="18" a="1"/>
  <c r="W121" i="18"/>
  <c r="V121" i="18" a="1"/>
  <c r="V121" i="18"/>
  <c r="U121" i="18" a="1"/>
  <c r="U121" i="18"/>
  <c r="AI120" i="18"/>
  <c r="AH120" i="18"/>
  <c r="AG120" i="18"/>
  <c r="AF120" i="18"/>
  <c r="AE120" i="18"/>
  <c r="AD120" i="18"/>
  <c r="AC120" i="18"/>
  <c r="AB120" i="18"/>
  <c r="AA120" i="18"/>
  <c r="Z120" i="18"/>
  <c r="Y120" i="18"/>
  <c r="X120" i="18"/>
  <c r="W120" i="18"/>
  <c r="V120" i="18"/>
  <c r="U120" i="18"/>
  <c r="T120" i="18"/>
  <c r="S120" i="18"/>
  <c r="R120" i="18"/>
  <c r="Q120" i="18"/>
  <c r="P120" i="18"/>
  <c r="O120" i="18"/>
  <c r="N120" i="18"/>
  <c r="M120" i="18"/>
  <c r="L120" i="18"/>
  <c r="K120" i="18"/>
  <c r="J120" i="18"/>
  <c r="I120" i="18"/>
  <c r="H120" i="18"/>
  <c r="G120" i="18"/>
  <c r="F120" i="18"/>
  <c r="AI108" i="18"/>
  <c r="AH108" i="18"/>
  <c r="AG108" i="18"/>
  <c r="AF108" i="18"/>
  <c r="AE108" i="18"/>
  <c r="AD108" i="18"/>
  <c r="AC108" i="18"/>
  <c r="AB108" i="18"/>
  <c r="AA108" i="18"/>
  <c r="Z108" i="18"/>
  <c r="Y108" i="18"/>
  <c r="X108" i="18"/>
  <c r="W108" i="18"/>
  <c r="V108" i="18"/>
  <c r="U108" i="18"/>
  <c r="T108" i="18"/>
  <c r="S108" i="18"/>
  <c r="R108" i="18"/>
  <c r="Q108" i="18"/>
  <c r="P108" i="18"/>
  <c r="O108" i="18"/>
  <c r="N108" i="18"/>
  <c r="M108" i="18"/>
  <c r="L108" i="18"/>
  <c r="K108" i="18"/>
  <c r="J108" i="18"/>
  <c r="I108" i="18"/>
  <c r="H108" i="18"/>
  <c r="G108" i="18"/>
  <c r="F108" i="18"/>
  <c r="AH86" i="18"/>
  <c r="AI80" i="18"/>
  <c r="AH80" i="18"/>
  <c r="AG80" i="18"/>
  <c r="AF80" i="18"/>
  <c r="AE80" i="18"/>
  <c r="AD80" i="18"/>
  <c r="AC80" i="18"/>
  <c r="AB80" i="18"/>
  <c r="AA80" i="18"/>
  <c r="Z80" i="18"/>
  <c r="Y80" i="18"/>
  <c r="X80" i="18"/>
  <c r="W80" i="18"/>
  <c r="V80" i="18"/>
  <c r="U80" i="18"/>
  <c r="T80" i="18"/>
  <c r="S80" i="18"/>
  <c r="R80" i="18"/>
  <c r="Q80" i="18"/>
  <c r="P80" i="18"/>
  <c r="O80" i="18"/>
  <c r="N80" i="18"/>
  <c r="M80" i="18"/>
  <c r="L80" i="18"/>
  <c r="K80" i="18"/>
  <c r="J80" i="18"/>
  <c r="I80" i="18"/>
  <c r="H80" i="18"/>
  <c r="G80" i="18"/>
  <c r="F80" i="18"/>
  <c r="E80" i="18"/>
  <c r="F169" i="7"/>
  <c r="F168" i="7"/>
  <c r="F167" i="7"/>
  <c r="F165" i="7"/>
  <c r="F164" i="7"/>
  <c r="F163" i="7"/>
  <c r="F160" i="7"/>
  <c r="F158" i="7"/>
  <c r="F157" i="7"/>
  <c r="F155" i="7"/>
  <c r="F154" i="7"/>
  <c r="F152" i="7"/>
  <c r="C177" i="7"/>
  <c r="C176" i="21"/>
  <c r="C175" i="7"/>
  <c r="C174" i="21"/>
  <c r="C174" i="7"/>
  <c r="C173" i="7"/>
  <c r="H59" i="7"/>
  <c r="H58" i="7"/>
  <c r="H40" i="7"/>
  <c r="H51" i="7"/>
  <c r="H52" i="7"/>
  <c r="H50" i="7"/>
  <c r="H45" i="7"/>
  <c r="H36" i="7"/>
  <c r="H35" i="7"/>
  <c r="H31" i="7"/>
  <c r="H37" i="7"/>
  <c r="H30" i="7"/>
  <c r="H25" i="7"/>
  <c r="K126" i="17"/>
  <c r="J126" i="17"/>
  <c r="I126" i="17"/>
  <c r="H126" i="17"/>
  <c r="K98" i="17"/>
  <c r="J98" i="17"/>
  <c r="I98" i="17"/>
  <c r="H98" i="17"/>
  <c r="F126" i="17"/>
  <c r="F98" i="17"/>
  <c r="P90" i="18"/>
  <c r="S90" i="22"/>
  <c r="P90" i="21"/>
  <c r="T90" i="22"/>
  <c r="Q90" i="21"/>
  <c r="AF86" i="21"/>
  <c r="R90" i="21"/>
  <c r="R86" i="21"/>
  <c r="R114" i="21"/>
  <c r="S90" i="21"/>
  <c r="R90" i="22"/>
  <c r="T90" i="21"/>
  <c r="T90" i="18"/>
  <c r="S90" i="18"/>
  <c r="P90" i="22"/>
  <c r="Q90" i="18"/>
  <c r="R90" i="18"/>
  <c r="Q90" i="22"/>
  <c r="G90" i="21"/>
  <c r="G86" i="21"/>
  <c r="G114" i="21"/>
  <c r="AE86" i="22"/>
  <c r="M90" i="22"/>
  <c r="M86" i="22"/>
  <c r="M114" i="22"/>
  <c r="H90" i="21"/>
  <c r="N90" i="22"/>
  <c r="Z86" i="22"/>
  <c r="Z114" i="22"/>
  <c r="F90" i="21"/>
  <c r="L90" i="22"/>
  <c r="L86" i="22"/>
  <c r="L114" i="22"/>
  <c r="O90" i="18"/>
  <c r="I90" i="21"/>
  <c r="O90" i="22"/>
  <c r="O86" i="22"/>
  <c r="O114" i="22"/>
  <c r="N90" i="18"/>
  <c r="J90" i="21"/>
  <c r="J86" i="21"/>
  <c r="J114" i="21"/>
  <c r="AB86" i="22"/>
  <c r="AB114" i="22"/>
  <c r="M90" i="18"/>
  <c r="K90" i="21"/>
  <c r="W86" i="22"/>
  <c r="AI86" i="22"/>
  <c r="AI114" i="22"/>
  <c r="AI123" i="22"/>
  <c r="AI125" i="22" a="1"/>
  <c r="AI125" i="22"/>
  <c r="F90" i="18"/>
  <c r="L90" i="18"/>
  <c r="X86" i="21"/>
  <c r="X114" i="21"/>
  <c r="L90" i="21"/>
  <c r="X86" i="22"/>
  <c r="X114" i="22"/>
  <c r="X123" i="22"/>
  <c r="X125" i="22" a="1"/>
  <c r="X125" i="22"/>
  <c r="F90" i="22"/>
  <c r="F86" i="22"/>
  <c r="H51" i="11"/>
  <c r="K64" i="17"/>
  <c r="K90" i="18"/>
  <c r="M90" i="21"/>
  <c r="G90" i="22"/>
  <c r="J90" i="18"/>
  <c r="N90" i="21"/>
  <c r="H90" i="22"/>
  <c r="H86" i="22"/>
  <c r="H114" i="22"/>
  <c r="AF86" i="22"/>
  <c r="AF114" i="22"/>
  <c r="I90" i="18"/>
  <c r="O90" i="21"/>
  <c r="I90" i="22"/>
  <c r="I86" i="22"/>
  <c r="I114" i="22"/>
  <c r="AA86" i="22"/>
  <c r="AA114" i="22"/>
  <c r="AA123" i="22"/>
  <c r="AA125" i="22" a="1"/>
  <c r="AA125" i="22"/>
  <c r="H90" i="18"/>
  <c r="J90" i="22"/>
  <c r="J86" i="22"/>
  <c r="J114" i="22"/>
  <c r="AH86" i="22"/>
  <c r="AH114" i="22"/>
  <c r="G90" i="18"/>
  <c r="C174" i="18"/>
  <c r="C174" i="22"/>
  <c r="C176" i="18"/>
  <c r="C176" i="22"/>
  <c r="S86" i="22"/>
  <c r="S114" i="22"/>
  <c r="S123" i="22"/>
  <c r="S125" i="22" a="1"/>
  <c r="S125" i="22"/>
  <c r="AA124" i="22"/>
  <c r="AA126" i="22"/>
  <c r="AA127" i="22" a="1"/>
  <c r="AA127" i="22"/>
  <c r="U114" i="22"/>
  <c r="AC114" i="22"/>
  <c r="V86" i="22"/>
  <c r="V114" i="22"/>
  <c r="AD86" i="22"/>
  <c r="AD114" i="22"/>
  <c r="W114" i="22"/>
  <c r="AE114" i="22"/>
  <c r="AF124" i="22"/>
  <c r="AF126" i="22"/>
  <c r="AF127" i="22" a="1"/>
  <c r="AF127" i="22"/>
  <c r="AF123" i="22"/>
  <c r="AF125" i="22" a="1"/>
  <c r="AF125" i="22"/>
  <c r="Y114" i="22"/>
  <c r="AG114" i="22"/>
  <c r="R86" i="22"/>
  <c r="R114" i="22"/>
  <c r="V86" i="21"/>
  <c r="V114" i="21"/>
  <c r="AD86" i="21"/>
  <c r="N86" i="22"/>
  <c r="N114" i="22"/>
  <c r="P86" i="22"/>
  <c r="P114" i="22"/>
  <c r="E121" i="22" a="1"/>
  <c r="E121" i="22"/>
  <c r="Y86" i="18"/>
  <c r="Y114" i="18"/>
  <c r="Y123" i="18"/>
  <c r="Y125" i="18" a="1"/>
  <c r="Y125" i="18"/>
  <c r="AG86" i="18"/>
  <c r="AG114" i="18"/>
  <c r="AG123" i="18"/>
  <c r="AG125" i="18" a="1"/>
  <c r="AG125" i="18"/>
  <c r="Y86" i="21"/>
  <c r="AG86" i="21"/>
  <c r="T86" i="22"/>
  <c r="T114" i="22"/>
  <c r="E126" i="22"/>
  <c r="W86" i="18"/>
  <c r="W114" i="18"/>
  <c r="W123" i="18"/>
  <c r="W125" i="18" a="1"/>
  <c r="W125" i="18"/>
  <c r="AE86" i="18"/>
  <c r="AE114" i="18"/>
  <c r="AE124" i="18"/>
  <c r="AE126" i="18"/>
  <c r="AE127" i="18" a="1"/>
  <c r="AE127" i="18"/>
  <c r="Q86" i="22"/>
  <c r="Q114" i="22"/>
  <c r="K86" i="22"/>
  <c r="K114" i="22"/>
  <c r="G86" i="22"/>
  <c r="G114" i="22"/>
  <c r="Z86" i="21"/>
  <c r="Z114" i="21"/>
  <c r="Z124" i="21"/>
  <c r="Z126" i="21"/>
  <c r="Z127" i="21" a="1"/>
  <c r="Z127" i="21"/>
  <c r="AH86" i="21"/>
  <c r="AH114" i="21"/>
  <c r="AH123" i="21"/>
  <c r="AH125" i="21" a="1"/>
  <c r="AH125" i="21"/>
  <c r="AB86" i="21"/>
  <c r="AB114" i="21"/>
  <c r="AA86" i="21"/>
  <c r="AA114" i="21"/>
  <c r="AA123" i="21"/>
  <c r="AA125" i="21" a="1"/>
  <c r="AA125" i="21"/>
  <c r="AI86" i="21"/>
  <c r="AI114" i="21"/>
  <c r="AI123" i="21"/>
  <c r="AI125" i="21" a="1"/>
  <c r="AI125" i="21"/>
  <c r="U86" i="21"/>
  <c r="U114" i="21"/>
  <c r="AC86" i="21"/>
  <c r="AC114" i="21"/>
  <c r="Y114" i="21"/>
  <c r="Y123" i="21"/>
  <c r="Y125" i="21" a="1"/>
  <c r="Y125" i="21"/>
  <c r="AG114" i="21"/>
  <c r="AG123" i="21"/>
  <c r="AG125" i="21" a="1"/>
  <c r="AG125" i="21"/>
  <c r="AF114" i="21"/>
  <c r="W86" i="21"/>
  <c r="AE86" i="21"/>
  <c r="R122" i="21" a="1"/>
  <c r="R122" i="21"/>
  <c r="S121" i="21" a="1"/>
  <c r="S121" i="21"/>
  <c r="N122" i="21" a="1"/>
  <c r="N122" i="21"/>
  <c r="O121" i="21" a="1"/>
  <c r="O121" i="21"/>
  <c r="J122" i="21" a="1"/>
  <c r="J122" i="21"/>
  <c r="K121" i="21" a="1"/>
  <c r="K121" i="21"/>
  <c r="F122" i="21" a="1"/>
  <c r="F122" i="21"/>
  <c r="G121" i="21" a="1"/>
  <c r="G121" i="21"/>
  <c r="P121" i="21" a="1"/>
  <c r="P121" i="21"/>
  <c r="Q122" i="21" a="1"/>
  <c r="Q122" i="21"/>
  <c r="R121" i="21" a="1"/>
  <c r="R121" i="21"/>
  <c r="M122" i="21" a="1"/>
  <c r="M122" i="21"/>
  <c r="N121" i="21" a="1"/>
  <c r="N121" i="21"/>
  <c r="I122" i="21" a="1"/>
  <c r="I122" i="21"/>
  <c r="J121" i="21" a="1"/>
  <c r="J121" i="21"/>
  <c r="T122" i="21" a="1"/>
  <c r="T122" i="21"/>
  <c r="P122" i="21" a="1"/>
  <c r="P122" i="21"/>
  <c r="Q121" i="21" a="1"/>
  <c r="Q121" i="21"/>
  <c r="L122" i="21" a="1"/>
  <c r="L122" i="21"/>
  <c r="M121" i="21" a="1"/>
  <c r="M121" i="21"/>
  <c r="H122" i="21" a="1"/>
  <c r="H122" i="21"/>
  <c r="I121" i="21" a="1"/>
  <c r="I121" i="21"/>
  <c r="F121" i="21" a="1"/>
  <c r="F121" i="21"/>
  <c r="S122" i="21" a="1"/>
  <c r="S122" i="21"/>
  <c r="T121" i="21" a="1"/>
  <c r="T121" i="21"/>
  <c r="G122" i="21" a="1"/>
  <c r="G122" i="21"/>
  <c r="H121" i="21" a="1"/>
  <c r="H121" i="21"/>
  <c r="Z86" i="18"/>
  <c r="Z114" i="18"/>
  <c r="Z123" i="18"/>
  <c r="Z125" i="18" a="1"/>
  <c r="Z125" i="18"/>
  <c r="AD114" i="21"/>
  <c r="W114" i="21"/>
  <c r="AE114" i="21"/>
  <c r="K122" i="21" a="1"/>
  <c r="K122" i="21"/>
  <c r="L121" i="21" a="1"/>
  <c r="L121" i="21"/>
  <c r="AA86" i="18"/>
  <c r="AA114" i="18"/>
  <c r="AI86" i="18"/>
  <c r="AI114" i="18"/>
  <c r="AH114" i="18"/>
  <c r="AH123" i="18"/>
  <c r="AH125" i="18" a="1"/>
  <c r="AH125" i="18"/>
  <c r="E126" i="21"/>
  <c r="AB86" i="18"/>
  <c r="AB114" i="18"/>
  <c r="AB124" i="18"/>
  <c r="AB126" i="18"/>
  <c r="AB127" i="18" a="1"/>
  <c r="AB127" i="18"/>
  <c r="Q86" i="21"/>
  <c r="Q114" i="21"/>
  <c r="M86" i="21"/>
  <c r="M114" i="21"/>
  <c r="U86" i="18"/>
  <c r="U114" i="18"/>
  <c r="AC86" i="18"/>
  <c r="AC114" i="18"/>
  <c r="AC124" i="18"/>
  <c r="AC126" i="18"/>
  <c r="AC127" i="18" a="1"/>
  <c r="AC127" i="18"/>
  <c r="F86" i="21"/>
  <c r="G51" i="11"/>
  <c r="J64" i="17"/>
  <c r="N86" i="21"/>
  <c r="N114" i="21"/>
  <c r="V86" i="18"/>
  <c r="V114" i="18"/>
  <c r="V124" i="18"/>
  <c r="V126" i="18"/>
  <c r="V127" i="18" a="1"/>
  <c r="V127" i="18"/>
  <c r="AD86" i="18"/>
  <c r="AD114" i="18"/>
  <c r="AD124" i="18"/>
  <c r="AD126" i="18"/>
  <c r="AD127" i="18" a="1"/>
  <c r="AD127" i="18"/>
  <c r="O86" i="21"/>
  <c r="O114" i="21"/>
  <c r="X86" i="18"/>
  <c r="X114" i="18"/>
  <c r="AF86" i="18"/>
  <c r="AF114" i="18"/>
  <c r="E121" i="18" a="1"/>
  <c r="E121" i="18"/>
  <c r="E126" i="18"/>
  <c r="H74" i="17"/>
  <c r="K62" i="17"/>
  <c r="J62" i="17"/>
  <c r="I62" i="17"/>
  <c r="H62" i="17"/>
  <c r="K31" i="17"/>
  <c r="J31" i="17"/>
  <c r="I31" i="17"/>
  <c r="H31" i="17"/>
  <c r="F62" i="17"/>
  <c r="X124" i="22"/>
  <c r="X126" i="22"/>
  <c r="X127" i="22" a="1"/>
  <c r="X127" i="22"/>
  <c r="Y124" i="21"/>
  <c r="Y126" i="21"/>
  <c r="Y127" i="21" a="1"/>
  <c r="Y127" i="21"/>
  <c r="AI124" i="21"/>
  <c r="AI126" i="21"/>
  <c r="AI127" i="21" a="1"/>
  <c r="AI127" i="21"/>
  <c r="AI124" i="22"/>
  <c r="AI126" i="22"/>
  <c r="AI127" i="22" a="1"/>
  <c r="AI127" i="22"/>
  <c r="AA124" i="21"/>
  <c r="AA126" i="21"/>
  <c r="AA127" i="21" a="1"/>
  <c r="AA127" i="21"/>
  <c r="AG124" i="21"/>
  <c r="AG126" i="21"/>
  <c r="AG127" i="21" a="1"/>
  <c r="AG127" i="21"/>
  <c r="Z123" i="21"/>
  <c r="Z125" i="21" a="1"/>
  <c r="Z125" i="21"/>
  <c r="Y124" i="18"/>
  <c r="Y126" i="18"/>
  <c r="Y127" i="18" a="1"/>
  <c r="Y127" i="18"/>
  <c r="U123" i="18"/>
  <c r="U125" i="18" a="1"/>
  <c r="U125" i="18"/>
  <c r="U124" i="18"/>
  <c r="U126" i="18"/>
  <c r="U127" i="18" a="1"/>
  <c r="U127" i="18"/>
  <c r="AE123" i="18"/>
  <c r="AE125" i="18" a="1"/>
  <c r="AE125" i="18"/>
  <c r="AC123" i="18"/>
  <c r="AC125" i="18" a="1"/>
  <c r="AC125" i="18"/>
  <c r="AG124" i="18"/>
  <c r="AG126" i="18"/>
  <c r="AG127" i="18" a="1"/>
  <c r="AG127" i="18"/>
  <c r="AD123" i="18"/>
  <c r="AD125" i="18" a="1"/>
  <c r="AD125" i="18"/>
  <c r="O123" i="22"/>
  <c r="O125" i="22" a="1"/>
  <c r="O125" i="22"/>
  <c r="G123" i="22"/>
  <c r="G125" i="22" a="1"/>
  <c r="G125" i="22"/>
  <c r="T123" i="22"/>
  <c r="T125" i="22" a="1"/>
  <c r="T125" i="22"/>
  <c r="M123" i="22"/>
  <c r="M125" i="22" a="1"/>
  <c r="M125" i="22"/>
  <c r="L123" i="22"/>
  <c r="L125" i="22" a="1"/>
  <c r="L125" i="22"/>
  <c r="J123" i="22"/>
  <c r="J125" i="22" a="1"/>
  <c r="J125" i="22"/>
  <c r="Q123" i="22"/>
  <c r="Q125" i="22" a="1"/>
  <c r="Q125" i="22"/>
  <c r="R123" i="22"/>
  <c r="R125" i="22" a="1"/>
  <c r="R125" i="22"/>
  <c r="I123" i="22"/>
  <c r="I125" i="22" a="1"/>
  <c r="I125" i="22"/>
  <c r="F114" i="22"/>
  <c r="D139" i="22"/>
  <c r="H57" i="11"/>
  <c r="K70" i="17"/>
  <c r="AC124" i="22"/>
  <c r="AC126" i="22"/>
  <c r="AC127" i="22" a="1"/>
  <c r="AC127" i="22"/>
  <c r="AC123" i="22"/>
  <c r="AC125" i="22" a="1"/>
  <c r="AC125" i="22"/>
  <c r="AE123" i="22"/>
  <c r="AE125" i="22" a="1"/>
  <c r="AE125" i="22"/>
  <c r="AE124" i="22"/>
  <c r="AE126" i="22"/>
  <c r="AE127" i="22" a="1"/>
  <c r="AE127" i="22"/>
  <c r="U124" i="22"/>
  <c r="U126" i="22"/>
  <c r="U127" i="22" a="1"/>
  <c r="U127" i="22"/>
  <c r="U123" i="22"/>
  <c r="U125" i="22" a="1"/>
  <c r="U125" i="22"/>
  <c r="AH124" i="21"/>
  <c r="AH126" i="21"/>
  <c r="AH127" i="21" a="1"/>
  <c r="AH127" i="21"/>
  <c r="I122" i="22" a="1"/>
  <c r="I122" i="22"/>
  <c r="J121" i="22" a="1"/>
  <c r="J121" i="22"/>
  <c r="R122" i="22" a="1"/>
  <c r="R122" i="22"/>
  <c r="S121" i="22" a="1"/>
  <c r="S121" i="22"/>
  <c r="N122" i="22" a="1"/>
  <c r="N122" i="22"/>
  <c r="O121" i="22" a="1"/>
  <c r="O121" i="22"/>
  <c r="O124" i="22"/>
  <c r="O126" i="22"/>
  <c r="O127" i="22" a="1"/>
  <c r="O127" i="22"/>
  <c r="J122" i="22" a="1"/>
  <c r="J122" i="22"/>
  <c r="K121" i="22" a="1"/>
  <c r="K121" i="22"/>
  <c r="K124" i="22"/>
  <c r="K126" i="22"/>
  <c r="K127" i="22" a="1"/>
  <c r="K127" i="22"/>
  <c r="F122" i="22" a="1"/>
  <c r="F122" i="22"/>
  <c r="G121" i="22" a="1"/>
  <c r="G121" i="22"/>
  <c r="Q122" i="22" a="1"/>
  <c r="Q122" i="22"/>
  <c r="R121" i="22" a="1"/>
  <c r="R121" i="22"/>
  <c r="M122" i="22" a="1"/>
  <c r="M122" i="22"/>
  <c r="N121" i="22" a="1"/>
  <c r="N121" i="22"/>
  <c r="T122" i="22" a="1"/>
  <c r="T122" i="22"/>
  <c r="P122" i="22" a="1"/>
  <c r="P122" i="22"/>
  <c r="Q121" i="22" a="1"/>
  <c r="Q121" i="22"/>
  <c r="Q124" i="22"/>
  <c r="Q126" i="22"/>
  <c r="Q127" i="22" a="1"/>
  <c r="Q127" i="22"/>
  <c r="L122" i="22" a="1"/>
  <c r="L122" i="22"/>
  <c r="M121" i="22" a="1"/>
  <c r="M121" i="22"/>
  <c r="M124" i="22"/>
  <c r="M126" i="22"/>
  <c r="M127" i="22" a="1"/>
  <c r="M127" i="22"/>
  <c r="H122" i="22" a="1"/>
  <c r="H122" i="22"/>
  <c r="I121" i="22" a="1"/>
  <c r="I121" i="22"/>
  <c r="F121" i="22" a="1"/>
  <c r="F121" i="22"/>
  <c r="S122" i="22" a="1"/>
  <c r="S122" i="22"/>
  <c r="T121" i="22" a="1"/>
  <c r="T121" i="22"/>
  <c r="T124" i="22"/>
  <c r="T126" i="22"/>
  <c r="T127" i="22" a="1"/>
  <c r="T127" i="22"/>
  <c r="O122" i="22" a="1"/>
  <c r="O122" i="22"/>
  <c r="P121" i="22" a="1"/>
  <c r="P121" i="22"/>
  <c r="P124" i="22"/>
  <c r="P126" i="22"/>
  <c r="P127" i="22" a="1"/>
  <c r="P127" i="22"/>
  <c r="K122" i="22" a="1"/>
  <c r="K122" i="22"/>
  <c r="L121" i="22" a="1"/>
  <c r="L121" i="22"/>
  <c r="L124" i="22"/>
  <c r="L126" i="22"/>
  <c r="L127" i="22" a="1"/>
  <c r="L127" i="22"/>
  <c r="G122" i="22" a="1"/>
  <c r="G122" i="22"/>
  <c r="H121" i="22" a="1"/>
  <c r="H121" i="22"/>
  <c r="AG123" i="22"/>
  <c r="AG125" i="22" a="1"/>
  <c r="AG125" i="22"/>
  <c r="AG124" i="22"/>
  <c r="AG126" i="22"/>
  <c r="AG127" i="22" a="1"/>
  <c r="AG127" i="22"/>
  <c r="W123" i="22"/>
  <c r="W125" i="22" a="1"/>
  <c r="W125" i="22"/>
  <c r="W124" i="22"/>
  <c r="W126" i="22"/>
  <c r="W127" i="22" a="1"/>
  <c r="W127" i="22"/>
  <c r="K86" i="21"/>
  <c r="K114" i="21"/>
  <c r="K123" i="21"/>
  <c r="K125" i="21" a="1"/>
  <c r="K125" i="21"/>
  <c r="L86" i="21"/>
  <c r="L114" i="21"/>
  <c r="L124" i="21"/>
  <c r="L126" i="21"/>
  <c r="L127" i="21" a="1"/>
  <c r="L127" i="21"/>
  <c r="Y123" i="22"/>
  <c r="Y125" i="22" a="1"/>
  <c r="Y125" i="22"/>
  <c r="Y124" i="22"/>
  <c r="Y126" i="22"/>
  <c r="Y127" i="22" a="1"/>
  <c r="Y127" i="22"/>
  <c r="AB124" i="22"/>
  <c r="AB126" i="22"/>
  <c r="AB127" i="22" a="1"/>
  <c r="AB127" i="22"/>
  <c r="AB123" i="22"/>
  <c r="AB125" i="22" a="1"/>
  <c r="AB125" i="22"/>
  <c r="W124" i="18"/>
  <c r="W126" i="18"/>
  <c r="W127" i="18" a="1"/>
  <c r="W127" i="18"/>
  <c r="AH123" i="22"/>
  <c r="AH125" i="22" a="1"/>
  <c r="AH125" i="22"/>
  <c r="AH124" i="22"/>
  <c r="AH126" i="22"/>
  <c r="AH127" i="22" a="1"/>
  <c r="AH127" i="22"/>
  <c r="K123" i="22"/>
  <c r="K125" i="22" a="1"/>
  <c r="K125" i="22"/>
  <c r="P123" i="22"/>
  <c r="P125" i="22" a="1"/>
  <c r="P125" i="22"/>
  <c r="Z123" i="22"/>
  <c r="Z125" i="22" a="1"/>
  <c r="Z125" i="22"/>
  <c r="Z124" i="22"/>
  <c r="Z126" i="22"/>
  <c r="Z127" i="22" a="1"/>
  <c r="Z127" i="22"/>
  <c r="AD123" i="22"/>
  <c r="AD125" i="22" a="1"/>
  <c r="AD125" i="22"/>
  <c r="AD124" i="22"/>
  <c r="AD126" i="22"/>
  <c r="AD127" i="22" a="1"/>
  <c r="AD127" i="22"/>
  <c r="H123" i="22"/>
  <c r="H125" i="22" a="1"/>
  <c r="H125" i="22"/>
  <c r="V123" i="22"/>
  <c r="V125" i="22" a="1"/>
  <c r="V125" i="22"/>
  <c r="V124" i="22"/>
  <c r="V126" i="22"/>
  <c r="V127" i="22" a="1"/>
  <c r="V127" i="22"/>
  <c r="N123" i="22"/>
  <c r="N125" i="22" a="1"/>
  <c r="N125" i="22"/>
  <c r="O123" i="21"/>
  <c r="O125" i="21" a="1"/>
  <c r="O125" i="21"/>
  <c r="O124" i="21"/>
  <c r="O126" i="21"/>
  <c r="O127" i="21" a="1"/>
  <c r="O127" i="21"/>
  <c r="D139" i="21"/>
  <c r="G57" i="11"/>
  <c r="J70" i="17"/>
  <c r="F114" i="21"/>
  <c r="G123" i="21"/>
  <c r="G125" i="21" a="1"/>
  <c r="G125" i="21"/>
  <c r="G124" i="21"/>
  <c r="G126" i="21"/>
  <c r="G127" i="21" a="1"/>
  <c r="G127" i="21"/>
  <c r="Q123" i="21"/>
  <c r="Q125" i="21" a="1"/>
  <c r="Q125" i="21"/>
  <c r="Q124" i="21"/>
  <c r="Q126" i="21"/>
  <c r="Q127" i="21" a="1"/>
  <c r="Q127" i="21"/>
  <c r="M124" i="21"/>
  <c r="M126" i="21"/>
  <c r="M127" i="21" a="1"/>
  <c r="M127" i="21"/>
  <c r="M123" i="21"/>
  <c r="M125" i="21" a="1"/>
  <c r="M125" i="21"/>
  <c r="N123" i="21"/>
  <c r="N125" i="21" a="1"/>
  <c r="N125" i="21"/>
  <c r="N124" i="21"/>
  <c r="N126" i="21"/>
  <c r="N127" i="21" a="1"/>
  <c r="N127" i="21"/>
  <c r="K124" i="21"/>
  <c r="K126" i="21"/>
  <c r="K127" i="21" a="1"/>
  <c r="K127" i="21"/>
  <c r="AB123" i="18"/>
  <c r="AB125" i="18" a="1"/>
  <c r="AB125" i="18"/>
  <c r="AF123" i="21"/>
  <c r="AF125" i="21" a="1"/>
  <c r="AF125" i="21"/>
  <c r="AF124" i="21"/>
  <c r="AF126" i="21"/>
  <c r="AF127" i="21" a="1"/>
  <c r="AF127" i="21"/>
  <c r="X123" i="21"/>
  <c r="X125" i="21" a="1"/>
  <c r="X125" i="21"/>
  <c r="X124" i="21"/>
  <c r="X126" i="21"/>
  <c r="X127" i="21" a="1"/>
  <c r="X127" i="21"/>
  <c r="AH124" i="18"/>
  <c r="AH126" i="18"/>
  <c r="AH127" i="18" a="1"/>
  <c r="AH127" i="18"/>
  <c r="AD123" i="21"/>
  <c r="AD125" i="21" a="1"/>
  <c r="AD125" i="21"/>
  <c r="AD124" i="21"/>
  <c r="AD126" i="21"/>
  <c r="AD127" i="21" a="1"/>
  <c r="AD127" i="21"/>
  <c r="AB124" i="21"/>
  <c r="AB126" i="21"/>
  <c r="AB127" i="21" a="1"/>
  <c r="AB127" i="21"/>
  <c r="AB123" i="21"/>
  <c r="AB125" i="21" a="1"/>
  <c r="AB125" i="21"/>
  <c r="R123" i="21"/>
  <c r="R125" i="21" a="1"/>
  <c r="R125" i="21"/>
  <c r="R124" i="21"/>
  <c r="R126" i="21"/>
  <c r="R127" i="21" a="1"/>
  <c r="R127" i="21"/>
  <c r="AE123" i="21"/>
  <c r="AE125" i="21" a="1"/>
  <c r="AE125" i="21"/>
  <c r="AE124" i="21"/>
  <c r="AE126" i="21"/>
  <c r="AE127" i="21" a="1"/>
  <c r="AE127" i="21"/>
  <c r="V123" i="21"/>
  <c r="V125" i="21" a="1"/>
  <c r="V125" i="21"/>
  <c r="V124" i="21"/>
  <c r="V126" i="21"/>
  <c r="V127" i="21" a="1"/>
  <c r="V127" i="21"/>
  <c r="Z124" i="18"/>
  <c r="Z126" i="18"/>
  <c r="Z127" i="18" a="1"/>
  <c r="Z127" i="18"/>
  <c r="V123" i="18"/>
  <c r="V125" i="18" a="1"/>
  <c r="V125" i="18"/>
  <c r="J123" i="21"/>
  <c r="J125" i="21" a="1"/>
  <c r="J125" i="21"/>
  <c r="J124" i="21"/>
  <c r="J126" i="21"/>
  <c r="J127" i="21" a="1"/>
  <c r="J127" i="21"/>
  <c r="W123" i="21"/>
  <c r="W125" i="21" a="1"/>
  <c r="W125" i="21"/>
  <c r="W124" i="21"/>
  <c r="W126" i="21"/>
  <c r="W127" i="21" a="1"/>
  <c r="W127" i="21"/>
  <c r="AC124" i="21"/>
  <c r="AC126" i="21"/>
  <c r="AC127" i="21" a="1"/>
  <c r="AC127" i="21"/>
  <c r="AC123" i="21"/>
  <c r="AC125" i="21" a="1"/>
  <c r="AC125" i="21"/>
  <c r="P86" i="21"/>
  <c r="P114" i="21"/>
  <c r="U124" i="21"/>
  <c r="U126" i="21"/>
  <c r="U127" i="21" a="1"/>
  <c r="U127" i="21"/>
  <c r="U123" i="21"/>
  <c r="U125" i="21" a="1"/>
  <c r="U125" i="21"/>
  <c r="S86" i="21"/>
  <c r="S114" i="21"/>
  <c r="T86" i="21"/>
  <c r="T114" i="21"/>
  <c r="I86" i="21"/>
  <c r="I114" i="21"/>
  <c r="H86" i="21"/>
  <c r="H114" i="21"/>
  <c r="AA123" i="18"/>
  <c r="AA125" i="18" a="1"/>
  <c r="AA125" i="18"/>
  <c r="AA124" i="18"/>
  <c r="AA126" i="18"/>
  <c r="AA127" i="18" a="1"/>
  <c r="AA127" i="18"/>
  <c r="S86" i="18"/>
  <c r="S114" i="18"/>
  <c r="K86" i="18"/>
  <c r="K114" i="18"/>
  <c r="Q86" i="18"/>
  <c r="Q114" i="18"/>
  <c r="T86" i="18"/>
  <c r="T114" i="18"/>
  <c r="H86" i="18"/>
  <c r="H114" i="18"/>
  <c r="R86" i="18"/>
  <c r="R114" i="18"/>
  <c r="G86" i="18"/>
  <c r="G114" i="18"/>
  <c r="P86" i="18"/>
  <c r="P114" i="18"/>
  <c r="F86" i="18"/>
  <c r="F51" i="11"/>
  <c r="I64" i="17"/>
  <c r="O86" i="18"/>
  <c r="O114" i="18"/>
  <c r="M86" i="18"/>
  <c r="M114" i="18"/>
  <c r="L86" i="18"/>
  <c r="L114" i="18"/>
  <c r="X123" i="18"/>
  <c r="X125" i="18" a="1"/>
  <c r="X125" i="18"/>
  <c r="X124" i="18"/>
  <c r="X126" i="18"/>
  <c r="X127" i="18" a="1"/>
  <c r="X127" i="18"/>
  <c r="N86" i="18"/>
  <c r="N114" i="18"/>
  <c r="J86" i="18"/>
  <c r="J114" i="18"/>
  <c r="R122" i="18" a="1"/>
  <c r="R122" i="18"/>
  <c r="S121" i="18" a="1"/>
  <c r="S121" i="18"/>
  <c r="N122" i="18" a="1"/>
  <c r="N122" i="18"/>
  <c r="O121" i="18" a="1"/>
  <c r="O121" i="18"/>
  <c r="J122" i="18" a="1"/>
  <c r="J122" i="18"/>
  <c r="K121" i="18" a="1"/>
  <c r="K121" i="18"/>
  <c r="F122" i="18" a="1"/>
  <c r="F122" i="18"/>
  <c r="G121" i="18" a="1"/>
  <c r="G121" i="18"/>
  <c r="Q122" i="18" a="1"/>
  <c r="Q122" i="18"/>
  <c r="R121" i="18" a="1"/>
  <c r="R121" i="18"/>
  <c r="M122" i="18" a="1"/>
  <c r="M122" i="18"/>
  <c r="N121" i="18" a="1"/>
  <c r="N121" i="18"/>
  <c r="I122" i="18" a="1"/>
  <c r="I122" i="18"/>
  <c r="J121" i="18" a="1"/>
  <c r="J121" i="18"/>
  <c r="K122" i="18" a="1"/>
  <c r="K122" i="18"/>
  <c r="L121" i="18" a="1"/>
  <c r="L121" i="18"/>
  <c r="T122" i="18" a="1"/>
  <c r="T122" i="18"/>
  <c r="F121" i="18" a="1"/>
  <c r="F121" i="18"/>
  <c r="S122" i="18" a="1"/>
  <c r="S122" i="18"/>
  <c r="T121" i="18" a="1"/>
  <c r="T121" i="18"/>
  <c r="H122" i="18" a="1"/>
  <c r="H122" i="18"/>
  <c r="I121" i="18" a="1"/>
  <c r="I121" i="18"/>
  <c r="G122" i="18" a="1"/>
  <c r="G122" i="18"/>
  <c r="H121" i="18" a="1"/>
  <c r="H121" i="18"/>
  <c r="P122" i="18" a="1"/>
  <c r="P122" i="18"/>
  <c r="Q121" i="18" a="1"/>
  <c r="Q121" i="18"/>
  <c r="O122" i="18" a="1"/>
  <c r="O122" i="18"/>
  <c r="P121" i="18" a="1"/>
  <c r="P121" i="18"/>
  <c r="L122" i="18" a="1"/>
  <c r="L122" i="18"/>
  <c r="M121" i="18" a="1"/>
  <c r="M121" i="18"/>
  <c r="I86" i="18"/>
  <c r="I114" i="18"/>
  <c r="AF123" i="18"/>
  <c r="AF125" i="18" a="1"/>
  <c r="AF125" i="18"/>
  <c r="AF124" i="18"/>
  <c r="AF126" i="18"/>
  <c r="AF127" i="18" a="1"/>
  <c r="AF127" i="18"/>
  <c r="AI123" i="18"/>
  <c r="AI125" i="18" a="1"/>
  <c r="AI125" i="18"/>
  <c r="AI124" i="18"/>
  <c r="AI126" i="18"/>
  <c r="AI127" i="18" a="1"/>
  <c r="AI127" i="18"/>
  <c r="F74" i="17" a="1"/>
  <c r="F74" i="17"/>
  <c r="F31" i="17"/>
  <c r="K17" i="17"/>
  <c r="J17" i="17"/>
  <c r="K12" i="17"/>
  <c r="J12" i="17"/>
  <c r="K10" i="17"/>
  <c r="J10" i="17"/>
  <c r="K8" i="17"/>
  <c r="J8" i="17"/>
  <c r="K6" i="17"/>
  <c r="J6" i="17"/>
  <c r="F18" i="17"/>
  <c r="D18" i="17"/>
  <c r="F16" i="17"/>
  <c r="D16" i="17"/>
  <c r="F14" i="17"/>
  <c r="D14" i="17"/>
  <c r="F12" i="17"/>
  <c r="D12" i="17"/>
  <c r="F10" i="17"/>
  <c r="D10" i="17"/>
  <c r="F8" i="17"/>
  <c r="D8" i="17"/>
  <c r="D6" i="17"/>
  <c r="F6" i="17"/>
  <c r="D64" i="11"/>
  <c r="D63" i="11"/>
  <c r="D62" i="11"/>
  <c r="D61" i="11"/>
  <c r="H34" i="11"/>
  <c r="G34" i="11"/>
  <c r="F34" i="11"/>
  <c r="E34" i="11"/>
  <c r="H20" i="11"/>
  <c r="G20" i="11"/>
  <c r="F20" i="11"/>
  <c r="E20" i="11"/>
  <c r="J124" i="22"/>
  <c r="J126" i="22"/>
  <c r="J127" i="22" a="1"/>
  <c r="J127" i="22"/>
  <c r="G124" i="22"/>
  <c r="G126" i="22"/>
  <c r="G127" i="22" a="1"/>
  <c r="G127" i="22"/>
  <c r="S124" i="22"/>
  <c r="S126" i="22"/>
  <c r="S127" i="22" a="1"/>
  <c r="S127" i="22"/>
  <c r="I124" i="22"/>
  <c r="I126" i="22"/>
  <c r="I127" i="22" a="1"/>
  <c r="I127" i="22"/>
  <c r="L123" i="21"/>
  <c r="L125" i="21" a="1"/>
  <c r="L125" i="21"/>
  <c r="N124" i="22"/>
  <c r="N126" i="22"/>
  <c r="N127" i="22" a="1"/>
  <c r="N127" i="22"/>
  <c r="H124" i="22"/>
  <c r="H126" i="22"/>
  <c r="H127" i="22" a="1"/>
  <c r="H127" i="22"/>
  <c r="R124" i="22"/>
  <c r="R126" i="22"/>
  <c r="R127" i="22" a="1"/>
  <c r="R127" i="22"/>
  <c r="F86" i="17"/>
  <c r="D86" i="17"/>
  <c r="D99" i="17"/>
  <c r="F123" i="22"/>
  <c r="F125" i="22" a="1"/>
  <c r="F125" i="22"/>
  <c r="F124" i="22"/>
  <c r="F126" i="22"/>
  <c r="T124" i="21"/>
  <c r="T126" i="21"/>
  <c r="T127" i="21" a="1"/>
  <c r="T127" i="21"/>
  <c r="T123" i="21"/>
  <c r="T125" i="21" a="1"/>
  <c r="T125" i="21"/>
  <c r="S123" i="21"/>
  <c r="S125" i="21" a="1"/>
  <c r="S125" i="21"/>
  <c r="S124" i="21"/>
  <c r="S126" i="21"/>
  <c r="S127" i="21" a="1"/>
  <c r="S127" i="21"/>
  <c r="P123" i="21"/>
  <c r="P125" i="21" a="1"/>
  <c r="P125" i="21"/>
  <c r="P124" i="21"/>
  <c r="P126" i="21"/>
  <c r="P127" i="21" a="1"/>
  <c r="P127" i="21"/>
  <c r="F123" i="21"/>
  <c r="F125" i="21" a="1"/>
  <c r="F125" i="21"/>
  <c r="F124" i="21"/>
  <c r="F126" i="21"/>
  <c r="H123" i="21"/>
  <c r="H125" i="21" a="1"/>
  <c r="H125" i="21"/>
  <c r="H124" i="21"/>
  <c r="H126" i="21"/>
  <c r="H127" i="21" a="1"/>
  <c r="H127" i="21"/>
  <c r="I123" i="21"/>
  <c r="I125" i="21" a="1"/>
  <c r="I125" i="21"/>
  <c r="I124" i="21"/>
  <c r="I126" i="21"/>
  <c r="I127" i="21" a="1"/>
  <c r="I127" i="21"/>
  <c r="K123" i="18"/>
  <c r="K125" i="18" a="1"/>
  <c r="K125" i="18"/>
  <c r="K124" i="18"/>
  <c r="K126" i="18"/>
  <c r="K127" i="18" a="1"/>
  <c r="K127" i="18"/>
  <c r="G124" i="18"/>
  <c r="G126" i="18"/>
  <c r="G127" i="18" a="1"/>
  <c r="G127" i="18"/>
  <c r="G123" i="18"/>
  <c r="G125" i="18" a="1"/>
  <c r="G125" i="18"/>
  <c r="M123" i="18"/>
  <c r="M125" i="18" a="1"/>
  <c r="M125" i="18"/>
  <c r="M124" i="18"/>
  <c r="M126" i="18"/>
  <c r="M127" i="18" a="1"/>
  <c r="M127" i="18"/>
  <c r="L124" i="18"/>
  <c r="L126" i="18"/>
  <c r="L127" i="18" a="1"/>
  <c r="L127" i="18"/>
  <c r="L123" i="18"/>
  <c r="L125" i="18" a="1"/>
  <c r="L125" i="18"/>
  <c r="H123" i="18"/>
  <c r="H125" i="18" a="1"/>
  <c r="H125" i="18"/>
  <c r="H124" i="18"/>
  <c r="H126" i="18"/>
  <c r="H127" i="18" a="1"/>
  <c r="H127" i="18"/>
  <c r="P123" i="18"/>
  <c r="P125" i="18" a="1"/>
  <c r="P125" i="18"/>
  <c r="P124" i="18"/>
  <c r="P126" i="18"/>
  <c r="P127" i="18" a="1"/>
  <c r="P127" i="18"/>
  <c r="J123" i="18"/>
  <c r="J125" i="18" a="1"/>
  <c r="J125" i="18"/>
  <c r="J124" i="18"/>
  <c r="J126" i="18"/>
  <c r="J127" i="18" a="1"/>
  <c r="J127" i="18"/>
  <c r="I123" i="18"/>
  <c r="I125" i="18" a="1"/>
  <c r="I125" i="18"/>
  <c r="I124" i="18"/>
  <c r="I126" i="18"/>
  <c r="I127" i="18" a="1"/>
  <c r="I127" i="18"/>
  <c r="N124" i="18"/>
  <c r="N126" i="18"/>
  <c r="N127" i="18" a="1"/>
  <c r="N127" i="18"/>
  <c r="N123" i="18"/>
  <c r="N125" i="18" a="1"/>
  <c r="N125" i="18"/>
  <c r="F114" i="18"/>
  <c r="D139" i="18"/>
  <c r="F57" i="11"/>
  <c r="I70" i="17"/>
  <c r="O124" i="18"/>
  <c r="O126" i="18"/>
  <c r="O127" i="18" a="1"/>
  <c r="O127" i="18"/>
  <c r="O123" i="18"/>
  <c r="O125" i="18" a="1"/>
  <c r="O125" i="18"/>
  <c r="Q123" i="18"/>
  <c r="Q125" i="18" a="1"/>
  <c r="Q125" i="18"/>
  <c r="Q124" i="18"/>
  <c r="Q126" i="18"/>
  <c r="Q127" i="18" a="1"/>
  <c r="Q127" i="18"/>
  <c r="T124" i="18"/>
  <c r="T126" i="18"/>
  <c r="T127" i="18" a="1"/>
  <c r="T127" i="18"/>
  <c r="T123" i="18"/>
  <c r="T125" i="18" a="1"/>
  <c r="T125" i="18"/>
  <c r="R123" i="18"/>
  <c r="R125" i="18" a="1"/>
  <c r="R125" i="18"/>
  <c r="R124" i="18"/>
  <c r="R126" i="18"/>
  <c r="R127" i="18" a="1"/>
  <c r="R127" i="18"/>
  <c r="S123" i="18"/>
  <c r="S125" i="18" a="1"/>
  <c r="S125" i="18"/>
  <c r="S124" i="18"/>
  <c r="S126" i="18"/>
  <c r="S127" i="18" a="1"/>
  <c r="S127" i="18"/>
  <c r="D101" i="17"/>
  <c r="D135" i="22" a="1"/>
  <c r="D135" i="22"/>
  <c r="H53" i="11"/>
  <c r="K66" i="17"/>
  <c r="F127" i="22" a="1"/>
  <c r="F127" i="22"/>
  <c r="F129" i="22"/>
  <c r="D136" i="22"/>
  <c r="H54" i="11"/>
  <c r="K67" i="17"/>
  <c r="F128" i="22"/>
  <c r="D135" i="21" a="1"/>
  <c r="D135" i="21"/>
  <c r="G53" i="11"/>
  <c r="J66" i="17"/>
  <c r="F127" i="21" a="1"/>
  <c r="F127" i="21"/>
  <c r="F129" i="21"/>
  <c r="D136" i="21"/>
  <c r="G54" i="11"/>
  <c r="J67" i="17"/>
  <c r="F128" i="21"/>
  <c r="F123" i="18"/>
  <c r="F125" i="18" a="1"/>
  <c r="F125" i="18"/>
  <c r="F124" i="18"/>
  <c r="F126" i="18"/>
  <c r="G128" i="22"/>
  <c r="F130" i="22"/>
  <c r="F131" i="22"/>
  <c r="G129" i="22"/>
  <c r="F130" i="21"/>
  <c r="G128" i="21"/>
  <c r="F131" i="21"/>
  <c r="G129" i="21"/>
  <c r="F127" i="18" a="1"/>
  <c r="F127" i="18"/>
  <c r="F129" i="18"/>
  <c r="D135" i="18" a="1"/>
  <c r="D135" i="18"/>
  <c r="F53" i="11"/>
  <c r="I66" i="17"/>
  <c r="D136" i="18"/>
  <c r="F54" i="11"/>
  <c r="I67" i="17"/>
  <c r="F128" i="18"/>
  <c r="H129" i="22"/>
  <c r="G131" i="22"/>
  <c r="H128" i="22"/>
  <c r="G130" i="22"/>
  <c r="H129" i="21"/>
  <c r="G131" i="21"/>
  <c r="H128" i="21"/>
  <c r="G130" i="21"/>
  <c r="F131" i="18"/>
  <c r="G129" i="18"/>
  <c r="F130" i="18"/>
  <c r="G128" i="18"/>
  <c r="H130" i="22"/>
  <c r="I128" i="22"/>
  <c r="I129" i="22"/>
  <c r="H131" i="22"/>
  <c r="H130" i="21"/>
  <c r="I128" i="21"/>
  <c r="H131" i="21"/>
  <c r="I129" i="21"/>
  <c r="H129" i="18"/>
  <c r="G131" i="18"/>
  <c r="H128" i="18"/>
  <c r="G130" i="18"/>
  <c r="J129" i="22"/>
  <c r="I131" i="22"/>
  <c r="I130" i="22"/>
  <c r="J128" i="22"/>
  <c r="J128" i="21"/>
  <c r="I130" i="21"/>
  <c r="J129" i="21"/>
  <c r="I131" i="21"/>
  <c r="I128" i="18"/>
  <c r="H130" i="18"/>
  <c r="H131" i="18"/>
  <c r="I129" i="18"/>
  <c r="J130" i="22"/>
  <c r="K128" i="22"/>
  <c r="J131" i="22"/>
  <c r="K129" i="22"/>
  <c r="J131" i="21"/>
  <c r="K129" i="21"/>
  <c r="J130" i="21"/>
  <c r="K128" i="21"/>
  <c r="J128" i="18"/>
  <c r="I130" i="18"/>
  <c r="J129" i="18"/>
  <c r="I131" i="18"/>
  <c r="K131" i="22"/>
  <c r="L129" i="22"/>
  <c r="K130" i="22"/>
  <c r="L128" i="22"/>
  <c r="K130" i="21"/>
  <c r="L128" i="21"/>
  <c r="L129" i="21"/>
  <c r="K131" i="21"/>
  <c r="K129" i="18"/>
  <c r="J131" i="18"/>
  <c r="J130" i="18"/>
  <c r="K128" i="18"/>
  <c r="L130" i="22"/>
  <c r="M128" i="22"/>
  <c r="L131" i="22"/>
  <c r="M129" i="22"/>
  <c r="L131" i="21"/>
  <c r="M129" i="21"/>
  <c r="L130" i="21"/>
  <c r="M128" i="21"/>
  <c r="L129" i="18"/>
  <c r="K131" i="18"/>
  <c r="K130" i="18"/>
  <c r="L128" i="18"/>
  <c r="M131" i="22"/>
  <c r="N129" i="22"/>
  <c r="N128" i="22"/>
  <c r="M130" i="22"/>
  <c r="N128" i="21"/>
  <c r="M130" i="21"/>
  <c r="M131" i="21"/>
  <c r="N129" i="21"/>
  <c r="L131" i="18"/>
  <c r="M129" i="18"/>
  <c r="L130" i="18"/>
  <c r="M128" i="18"/>
  <c r="O128" i="22"/>
  <c r="N130" i="22"/>
  <c r="N131" i="22"/>
  <c r="O129" i="22"/>
  <c r="N131" i="21"/>
  <c r="O129" i="21"/>
  <c r="N130" i="21"/>
  <c r="O128" i="21"/>
  <c r="N128" i="18"/>
  <c r="M130" i="18"/>
  <c r="M131" i="18"/>
  <c r="N129" i="18"/>
  <c r="P129" i="22"/>
  <c r="O131" i="22"/>
  <c r="P128" i="22"/>
  <c r="O130" i="22"/>
  <c r="P128" i="21"/>
  <c r="O130" i="21"/>
  <c r="P129" i="21"/>
  <c r="O131" i="21"/>
  <c r="N131" i="18"/>
  <c r="O129" i="18"/>
  <c r="N130" i="18"/>
  <c r="O128" i="18"/>
  <c r="P130" i="22"/>
  <c r="Q128" i="22"/>
  <c r="Q129" i="22"/>
  <c r="P131" i="22"/>
  <c r="P131" i="21"/>
  <c r="Q129" i="21"/>
  <c r="P130" i="21"/>
  <c r="Q128" i="21"/>
  <c r="P128" i="18"/>
  <c r="O130" i="18"/>
  <c r="P129" i="18"/>
  <c r="O131" i="18"/>
  <c r="R129" i="22"/>
  <c r="Q131" i="22"/>
  <c r="Q130" i="22"/>
  <c r="R128" i="22"/>
  <c r="R129" i="21"/>
  <c r="Q131" i="21"/>
  <c r="R128" i="21"/>
  <c r="Q130" i="21"/>
  <c r="P130" i="18"/>
  <c r="Q128" i="18"/>
  <c r="P131" i="18"/>
  <c r="Q129" i="18"/>
  <c r="R130" i="22"/>
  <c r="S128" i="22"/>
  <c r="R131" i="22"/>
  <c r="S129" i="22"/>
  <c r="R130" i="21"/>
  <c r="S128" i="21"/>
  <c r="R131" i="21"/>
  <c r="S129" i="21"/>
  <c r="R129" i="18"/>
  <c r="Q131" i="18"/>
  <c r="R128" i="18"/>
  <c r="Q130" i="18"/>
  <c r="S131" i="22"/>
  <c r="T129" i="22"/>
  <c r="S130" i="22"/>
  <c r="T128" i="22"/>
  <c r="T129" i="21"/>
  <c r="S131" i="21"/>
  <c r="S130" i="21"/>
  <c r="T128" i="21"/>
  <c r="R130" i="18"/>
  <c r="S128" i="18"/>
  <c r="S129" i="18"/>
  <c r="R131" i="18"/>
  <c r="T130" i="22"/>
  <c r="U128" i="22"/>
  <c r="T131" i="22"/>
  <c r="U129" i="22"/>
  <c r="T130" i="21"/>
  <c r="U128" i="21"/>
  <c r="T131" i="21"/>
  <c r="U129" i="21"/>
  <c r="T129" i="18"/>
  <c r="S131" i="18"/>
  <c r="S130" i="18"/>
  <c r="T128" i="18"/>
  <c r="U131" i="22"/>
  <c r="V129" i="22"/>
  <c r="V128" i="22"/>
  <c r="U130" i="22"/>
  <c r="V128" i="21"/>
  <c r="U130" i="21"/>
  <c r="U131" i="21"/>
  <c r="V129" i="21"/>
  <c r="T131" i="18"/>
  <c r="U129" i="18"/>
  <c r="T130" i="18"/>
  <c r="U128" i="18"/>
  <c r="W128" i="22"/>
  <c r="V130" i="22"/>
  <c r="V131" i="22"/>
  <c r="W129" i="22"/>
  <c r="V131" i="21"/>
  <c r="W129" i="21"/>
  <c r="V130" i="21"/>
  <c r="W128" i="21"/>
  <c r="V128" i="18"/>
  <c r="U130" i="18"/>
  <c r="U131" i="18"/>
  <c r="V129" i="18"/>
  <c r="X129" i="22"/>
  <c r="W131" i="22"/>
  <c r="X128" i="22"/>
  <c r="W130" i="22"/>
  <c r="X129" i="21"/>
  <c r="W131" i="21"/>
  <c r="X128" i="21"/>
  <c r="W130" i="21"/>
  <c r="V131" i="18"/>
  <c r="W129" i="18"/>
  <c r="V130" i="18"/>
  <c r="W128" i="18"/>
  <c r="X130" i="22"/>
  <c r="Y128" i="22"/>
  <c r="Y129" i="22"/>
  <c r="X131" i="22"/>
  <c r="X130" i="21"/>
  <c r="Y128" i="21"/>
  <c r="X131" i="21"/>
  <c r="Y129" i="21"/>
  <c r="X129" i="18"/>
  <c r="W131" i="18"/>
  <c r="X128" i="18"/>
  <c r="W130" i="18"/>
  <c r="Z129" i="22"/>
  <c r="Y131" i="22"/>
  <c r="Y130" i="22"/>
  <c r="Z128" i="22"/>
  <c r="Z128" i="21"/>
  <c r="Y130" i="21"/>
  <c r="Z129" i="21"/>
  <c r="Y131" i="21"/>
  <c r="Y128" i="18"/>
  <c r="X130" i="18"/>
  <c r="X131" i="18"/>
  <c r="Y129" i="18"/>
  <c r="Z130" i="22"/>
  <c r="AA128" i="22"/>
  <c r="Z131" i="22"/>
  <c r="AA129" i="22"/>
  <c r="Z131" i="21"/>
  <c r="AA129" i="21"/>
  <c r="Z130" i="21"/>
  <c r="AA128" i="21"/>
  <c r="Z128" i="18"/>
  <c r="Y130" i="18"/>
  <c r="Z129" i="18"/>
  <c r="Y131" i="18"/>
  <c r="AA130" i="22"/>
  <c r="AB128" i="22"/>
  <c r="AA131" i="22"/>
  <c r="AB129" i="22"/>
  <c r="AB129" i="21"/>
  <c r="AA131" i="21"/>
  <c r="AA130" i="21"/>
  <c r="AB128" i="21"/>
  <c r="Z130" i="18"/>
  <c r="AA128" i="18"/>
  <c r="AA129" i="18"/>
  <c r="Z131" i="18"/>
  <c r="AB130" i="22"/>
  <c r="AC128" i="22"/>
  <c r="AB131" i="22"/>
  <c r="AC129" i="22"/>
  <c r="AB130" i="21"/>
  <c r="AC128" i="21"/>
  <c r="AB131" i="21"/>
  <c r="AC129" i="21"/>
  <c r="AB129" i="18"/>
  <c r="AA131" i="18"/>
  <c r="AA130" i="18"/>
  <c r="AB128" i="18"/>
  <c r="AC131" i="22"/>
  <c r="AD129" i="22"/>
  <c r="AD128" i="22"/>
  <c r="AC130" i="22"/>
  <c r="AD128" i="21"/>
  <c r="AC130" i="21"/>
  <c r="AC131" i="21"/>
  <c r="AD129" i="21"/>
  <c r="AB130" i="18"/>
  <c r="AC128" i="18"/>
  <c r="AB131" i="18"/>
  <c r="AC129" i="18"/>
  <c r="AE128" i="22"/>
  <c r="AD130" i="22"/>
  <c r="AD131" i="22"/>
  <c r="AE129" i="22"/>
  <c r="AD131" i="21"/>
  <c r="AE129" i="21"/>
  <c r="AD130" i="21"/>
  <c r="AE128" i="21"/>
  <c r="AD128" i="18"/>
  <c r="AC130" i="18"/>
  <c r="AC131" i="18"/>
  <c r="AD129" i="18"/>
  <c r="AF129" i="22"/>
  <c r="AE131" i="22"/>
  <c r="AF128" i="22"/>
  <c r="AE130" i="22"/>
  <c r="AF129" i="21"/>
  <c r="AE131" i="21"/>
  <c r="AF128" i="21"/>
  <c r="AE130" i="21"/>
  <c r="AD130" i="18"/>
  <c r="AE128" i="18"/>
  <c r="AD131" i="18"/>
  <c r="AE129" i="18"/>
  <c r="AF130" i="22"/>
  <c r="AG128" i="22"/>
  <c r="AG129" i="22"/>
  <c r="AF131" i="22"/>
  <c r="AF130" i="21"/>
  <c r="AG128" i="21"/>
  <c r="AG129" i="21"/>
  <c r="AF131" i="21"/>
  <c r="AF128" i="18"/>
  <c r="AE130" i="18"/>
  <c r="AF129" i="18"/>
  <c r="AE131" i="18"/>
  <c r="AG130" i="22"/>
  <c r="AH128" i="22"/>
  <c r="AH129" i="22"/>
  <c r="AG131" i="22"/>
  <c r="AH129" i="21"/>
  <c r="AG131" i="21"/>
  <c r="AH128" i="21"/>
  <c r="AG130" i="21"/>
  <c r="AF131" i="18"/>
  <c r="AG129" i="18"/>
  <c r="AG128" i="18"/>
  <c r="AF130" i="18"/>
  <c r="AH131" i="22"/>
  <c r="AI129" i="22"/>
  <c r="AI131" i="22"/>
  <c r="D138" i="22"/>
  <c r="H56" i="11"/>
  <c r="K69" i="17"/>
  <c r="AH130" i="22"/>
  <c r="AI128" i="22"/>
  <c r="AI130" i="22"/>
  <c r="D137" i="22"/>
  <c r="H55" i="11"/>
  <c r="K68" i="17"/>
  <c r="AH130" i="21"/>
  <c r="AI128" i="21"/>
  <c r="AI130" i="21"/>
  <c r="D137" i="21"/>
  <c r="G55" i="11"/>
  <c r="J68" i="17"/>
  <c r="AH131" i="21"/>
  <c r="AI129" i="21"/>
  <c r="AI131" i="21"/>
  <c r="D138" i="21"/>
  <c r="G56" i="11"/>
  <c r="J69" i="17"/>
  <c r="AH128" i="18"/>
  <c r="AG130" i="18"/>
  <c r="AH129" i="18"/>
  <c r="AG131" i="18"/>
  <c r="AH130" i="18"/>
  <c r="AI128" i="18"/>
  <c r="AI130" i="18"/>
  <c r="D137" i="18"/>
  <c r="F55" i="11"/>
  <c r="I68" i="17"/>
  <c r="AI129" i="18"/>
  <c r="AI131" i="18"/>
  <c r="AH131" i="18"/>
  <c r="D138" i="18"/>
  <c r="F56" i="11"/>
  <c r="I69" i="17"/>
  <c r="D66" i="11"/>
  <c r="D65" i="11"/>
  <c r="D58" i="11"/>
  <c r="D59" i="11"/>
  <c r="D60" i="11"/>
  <c r="I24" i="2"/>
  <c r="I94" i="8"/>
  <c r="U119" i="7"/>
  <c r="V119" i="7"/>
  <c r="W119" i="7"/>
  <c r="X119" i="7"/>
  <c r="Y119" i="7"/>
  <c r="Z119" i="7"/>
  <c r="AA119" i="7"/>
  <c r="AB119" i="7"/>
  <c r="AC119" i="7"/>
  <c r="AD119" i="7"/>
  <c r="AE119" i="7"/>
  <c r="AF119" i="7"/>
  <c r="AG119" i="7"/>
  <c r="AH119" i="7"/>
  <c r="AI119" i="7"/>
  <c r="I47" i="8"/>
  <c r="AE122" i="7"/>
  <c r="AF122" i="7"/>
  <c r="AG122" i="7"/>
  <c r="AH122" i="7"/>
  <c r="AI122" i="7"/>
  <c r="AE120" i="7"/>
  <c r="AF120" i="7"/>
  <c r="AG120" i="7"/>
  <c r="AH120" i="7"/>
  <c r="AI120" i="7"/>
  <c r="AE121" i="7"/>
  <c r="AF121" i="7"/>
  <c r="AG121" i="7"/>
  <c r="AH121" i="7"/>
  <c r="AI121" i="7"/>
  <c r="I107" i="8"/>
  <c r="I111" i="8"/>
  <c r="X90" i="7"/>
  <c r="AE113" i="7"/>
  <c r="AF113" i="7"/>
  <c r="AG113" i="7"/>
  <c r="AH113" i="7"/>
  <c r="AI113" i="7"/>
  <c r="U114" i="7"/>
  <c r="V114" i="7"/>
  <c r="W114" i="7"/>
  <c r="X114" i="7"/>
  <c r="Y114" i="7"/>
  <c r="Z114" i="7"/>
  <c r="AA114" i="7"/>
  <c r="AB114" i="7"/>
  <c r="AC114" i="7"/>
  <c r="AD114" i="7"/>
  <c r="AE114" i="7"/>
  <c r="AF114" i="7"/>
  <c r="AG114" i="7"/>
  <c r="AH114" i="7"/>
  <c r="AI114" i="7"/>
  <c r="AE99" i="7"/>
  <c r="AF99" i="7"/>
  <c r="AG99" i="7"/>
  <c r="AH99" i="7"/>
  <c r="AI99" i="7"/>
  <c r="AE100" i="7"/>
  <c r="AF100" i="7"/>
  <c r="AG100" i="7"/>
  <c r="AH100" i="7"/>
  <c r="AI100" i="7"/>
  <c r="AE103" i="7"/>
  <c r="AF103" i="7"/>
  <c r="AG103" i="7"/>
  <c r="AH103" i="7"/>
  <c r="AI103" i="7"/>
  <c r="AE104" i="7"/>
  <c r="AF104" i="7"/>
  <c r="AG104" i="7"/>
  <c r="AH104" i="7"/>
  <c r="AI104" i="7"/>
  <c r="AE108" i="7"/>
  <c r="AF108" i="7"/>
  <c r="AG108" i="7"/>
  <c r="AH108" i="7"/>
  <c r="AI108" i="7"/>
  <c r="N17" i="7"/>
  <c r="I84" i="7"/>
  <c r="P84" i="7"/>
  <c r="X84" i="7"/>
  <c r="L84" i="7"/>
  <c r="U84" i="7"/>
  <c r="K84" i="7"/>
  <c r="W84" i="7"/>
  <c r="Y84" i="7"/>
  <c r="Q84" i="7"/>
  <c r="AE84" i="7"/>
  <c r="AG84" i="7"/>
  <c r="AI84" i="7"/>
  <c r="AD84" i="7"/>
  <c r="AF84" i="7"/>
  <c r="Z84" i="7"/>
  <c r="S84" i="7"/>
  <c r="AC84" i="7"/>
  <c r="H84" i="7"/>
  <c r="F84" i="7"/>
  <c r="T84" i="7"/>
  <c r="AH84" i="7"/>
  <c r="AA84" i="7"/>
  <c r="AB84" i="7"/>
  <c r="N84" i="7"/>
  <c r="G84" i="7"/>
  <c r="J84" i="7"/>
  <c r="V84" i="7"/>
  <c r="I52" i="2"/>
  <c r="AA90" i="7"/>
  <c r="I90" i="7"/>
  <c r="AH90" i="7"/>
  <c r="S90" i="7"/>
  <c r="H90" i="7"/>
  <c r="M90" i="7"/>
  <c r="K90" i="7"/>
  <c r="J90" i="7"/>
  <c r="AI90" i="7"/>
  <c r="U90" i="7"/>
  <c r="AG90" i="7"/>
  <c r="R90" i="7"/>
  <c r="AF90" i="7"/>
  <c r="Q90" i="7"/>
  <c r="AC90" i="7"/>
  <c r="P90" i="7"/>
  <c r="Z90" i="7"/>
  <c r="U88" i="7"/>
  <c r="AI88" i="7"/>
  <c r="S88" i="7"/>
  <c r="J88" i="7"/>
  <c r="AH88" i="7"/>
  <c r="Z88" i="7"/>
  <c r="R88" i="7"/>
  <c r="I88" i="7"/>
  <c r="AE90" i="7"/>
  <c r="W90" i="7"/>
  <c r="O90" i="7"/>
  <c r="G90" i="7"/>
  <c r="AA88" i="7"/>
  <c r="AG88" i="7"/>
  <c r="Q88" i="7"/>
  <c r="H88" i="7"/>
  <c r="AD90" i="7"/>
  <c r="V90" i="7"/>
  <c r="N90" i="7"/>
  <c r="AC88" i="7"/>
  <c r="AF88" i="7"/>
  <c r="X88" i="7"/>
  <c r="P88" i="7"/>
  <c r="G88" i="7"/>
  <c r="L88" i="7"/>
  <c r="AE88" i="7"/>
  <c r="W88" i="7"/>
  <c r="N88" i="7"/>
  <c r="F90" i="7"/>
  <c r="AB90" i="7"/>
  <c r="T90" i="7"/>
  <c r="L90" i="7"/>
  <c r="AD88" i="7"/>
  <c r="V88" i="7"/>
  <c r="M88" i="7"/>
  <c r="F88" i="7"/>
  <c r="AB88" i="7"/>
  <c r="T88" i="7"/>
  <c r="K88" i="7"/>
  <c r="I40" i="2"/>
  <c r="I101" i="8"/>
  <c r="K86" i="7"/>
  <c r="AB86" i="7"/>
  <c r="G86" i="7"/>
  <c r="AI86" i="7"/>
  <c r="I86" i="7"/>
  <c r="J86" i="7"/>
  <c r="AA86" i="7"/>
  <c r="H86" i="7"/>
  <c r="S86" i="7"/>
  <c r="F86" i="7"/>
  <c r="P86" i="7"/>
  <c r="W86" i="7"/>
  <c r="X86" i="7"/>
  <c r="Y86" i="7"/>
  <c r="Z86" i="7"/>
  <c r="N86" i="7"/>
  <c r="AE86" i="7"/>
  <c r="AF86" i="7"/>
  <c r="AG86" i="7"/>
  <c r="AH86" i="7"/>
  <c r="V86" i="7"/>
  <c r="Q86" i="7"/>
  <c r="R86" i="7"/>
  <c r="L86" i="7"/>
  <c r="AD86" i="7"/>
  <c r="I62" i="2"/>
  <c r="E65" i="7"/>
  <c r="E61" i="7"/>
  <c r="E57" i="7"/>
  <c r="AC86" i="7"/>
  <c r="U86" i="7"/>
  <c r="W120" i="7"/>
  <c r="X120" i="7"/>
  <c r="U120" i="7"/>
  <c r="V120" i="7"/>
  <c r="AD120" i="7"/>
  <c r="Y120" i="7"/>
  <c r="T86" i="7"/>
  <c r="Z120" i="7"/>
  <c r="AA120" i="7"/>
  <c r="AC120" i="7"/>
  <c r="AB120" i="7"/>
  <c r="AB103" i="7"/>
  <c r="X103" i="7"/>
  <c r="W103" i="7"/>
  <c r="Y103" i="7"/>
  <c r="Z103" i="7"/>
  <c r="AC103" i="7"/>
  <c r="V103" i="7"/>
  <c r="AA103" i="7"/>
  <c r="U103" i="7"/>
  <c r="AD103" i="7"/>
  <c r="E13" i="11"/>
  <c r="H13" i="11"/>
  <c r="G13" i="11"/>
  <c r="F13" i="11"/>
  <c r="AD104" i="7"/>
  <c r="W104" i="7"/>
  <c r="Y104" i="7"/>
  <c r="Z104" i="7"/>
  <c r="AA104" i="7"/>
  <c r="AB104" i="7"/>
  <c r="U104" i="7"/>
  <c r="AC104" i="7"/>
  <c r="V104" i="7"/>
  <c r="X104" i="7"/>
  <c r="E45" i="11"/>
  <c r="H33" i="17"/>
  <c r="F33" i="17" a="1"/>
  <c r="F33" i="17"/>
  <c r="E46" i="11"/>
  <c r="H34" i="17"/>
  <c r="F34" i="17" a="1"/>
  <c r="F34" i="17"/>
  <c r="E47" i="11"/>
  <c r="H35" i="17"/>
  <c r="F35" i="17" a="1"/>
  <c r="F35" i="17"/>
  <c r="E48" i="11"/>
  <c r="H36" i="17"/>
  <c r="F36" i="17" a="1"/>
  <c r="F36" i="17"/>
  <c r="E49" i="11"/>
  <c r="H37" i="17"/>
  <c r="F37" i="17" a="1"/>
  <c r="F37" i="17"/>
  <c r="E44" i="11"/>
  <c r="H32" i="17"/>
  <c r="F32" i="17" a="1"/>
  <c r="F32" i="17"/>
  <c r="D48" i="9"/>
  <c r="D47" i="9"/>
  <c r="D46" i="9"/>
  <c r="D45" i="9"/>
  <c r="AE93" i="7"/>
  <c r="AF93" i="7"/>
  <c r="AG93" i="7"/>
  <c r="AH93" i="7"/>
  <c r="AI93" i="7"/>
  <c r="AE95" i="7"/>
  <c r="AF95" i="7"/>
  <c r="AG95" i="7"/>
  <c r="AH95" i="7"/>
  <c r="AI95"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F97" i="7"/>
  <c r="F96" i="7"/>
  <c r="AE92" i="7"/>
  <c r="AF92" i="7"/>
  <c r="AG92" i="7"/>
  <c r="AH92" i="7"/>
  <c r="AI92" i="7"/>
  <c r="C197" i="7"/>
  <c r="AE124" i="7" a="1"/>
  <c r="AE124" i="7"/>
  <c r="AF124" i="7" a="1"/>
  <c r="AF124" i="7"/>
  <c r="AG124" i="7" a="1"/>
  <c r="AG124" i="7"/>
  <c r="AH124" i="7" a="1"/>
  <c r="AH124" i="7"/>
  <c r="AI124" i="7" a="1"/>
  <c r="AI124" i="7"/>
  <c r="AE125" i="7" a="1"/>
  <c r="AE125" i="7"/>
  <c r="AF125" i="7" a="1"/>
  <c r="AF125" i="7"/>
  <c r="AG125" i="7" a="1"/>
  <c r="AG125" i="7"/>
  <c r="AH125" i="7" a="1"/>
  <c r="AH125" i="7"/>
  <c r="AI125" i="7" a="1"/>
  <c r="AI125" i="7"/>
  <c r="AE123" i="7"/>
  <c r="AF123" i="7"/>
  <c r="AG123" i="7"/>
  <c r="AH123" i="7"/>
  <c r="AI123" i="7"/>
  <c r="F37" i="8"/>
  <c r="F46" i="9"/>
  <c r="F47" i="9"/>
  <c r="F45" i="9"/>
  <c r="F62" i="8"/>
  <c r="F63" i="8"/>
  <c r="F61" i="8"/>
  <c r="F57" i="8"/>
  <c r="F58" i="8"/>
  <c r="F56" i="8"/>
  <c r="J8" i="2"/>
  <c r="L8" i="2"/>
  <c r="B4" i="7"/>
  <c r="J8" i="8"/>
  <c r="J8" i="9"/>
  <c r="I8" i="8"/>
  <c r="I8" i="9"/>
  <c r="K8" i="9"/>
  <c r="K8" i="8"/>
  <c r="I8" i="2"/>
  <c r="K8" i="2"/>
  <c r="L8" i="8"/>
  <c r="L8" i="9"/>
  <c r="U82" i="7"/>
  <c r="V82" i="7"/>
  <c r="W82" i="7"/>
  <c r="X82" i="7"/>
  <c r="Z82" i="7"/>
  <c r="AA82" i="7"/>
  <c r="AB82" i="7"/>
  <c r="AC82" i="7"/>
  <c r="AD82" i="7"/>
  <c r="AE82" i="7"/>
  <c r="AF82" i="7"/>
  <c r="AG82" i="7"/>
  <c r="AH82" i="7"/>
  <c r="AI82" i="7"/>
  <c r="AE91" i="7"/>
  <c r="AF91" i="7"/>
  <c r="AG91" i="7"/>
  <c r="AH91" i="7"/>
  <c r="AI91" i="7"/>
  <c r="AE112" i="7"/>
  <c r="AF112" i="7"/>
  <c r="AG112" i="7"/>
  <c r="AH112" i="7"/>
  <c r="AI112" i="7"/>
  <c r="F11" i="8"/>
  <c r="F13" i="8"/>
  <c r="AI118" i="7"/>
  <c r="AI126" i="7"/>
  <c r="AI128" i="7" a="1"/>
  <c r="AI128" i="7"/>
  <c r="AH118" i="7"/>
  <c r="AH126" i="7"/>
  <c r="AH128" i="7" a="1"/>
  <c r="AH128" i="7"/>
  <c r="AF118" i="7"/>
  <c r="AF126" i="7"/>
  <c r="AF128" i="7" a="1"/>
  <c r="AF128" i="7"/>
  <c r="AE118" i="7"/>
  <c r="AE126" i="7"/>
  <c r="AE128" i="7" a="1"/>
  <c r="AE128" i="7"/>
  <c r="AG118" i="7"/>
  <c r="AG126" i="7"/>
  <c r="AG128" i="7" a="1"/>
  <c r="AG128" i="7"/>
  <c r="F16" i="8"/>
  <c r="AI127" i="7"/>
  <c r="AI129" i="7"/>
  <c r="AI130" i="7" a="1"/>
  <c r="AI130" i="7"/>
  <c r="AE127" i="7"/>
  <c r="AE129" i="7"/>
  <c r="AE130" i="7" a="1"/>
  <c r="AE130" i="7"/>
  <c r="AF127" i="7"/>
  <c r="AF129" i="7"/>
  <c r="AF130" i="7" a="1"/>
  <c r="AF130" i="7"/>
  <c r="AH127" i="7"/>
  <c r="AH129" i="7"/>
  <c r="AH130" i="7" a="1"/>
  <c r="AH130" i="7"/>
  <c r="AG127" i="7"/>
  <c r="AG129" i="7"/>
  <c r="AG130" i="7" a="1"/>
  <c r="AG130" i="7"/>
  <c r="AA99" i="7"/>
  <c r="AB99" i="7"/>
  <c r="AD99" i="7"/>
  <c r="V99" i="7"/>
  <c r="AC99" i="7"/>
  <c r="U99" i="7"/>
  <c r="Z99" i="7"/>
  <c r="Y99" i="7"/>
  <c r="X99" i="7"/>
  <c r="W99" i="7"/>
  <c r="X100" i="7"/>
  <c r="W100" i="7"/>
  <c r="AC100" i="7"/>
  <c r="Z100" i="7"/>
  <c r="Y113" i="7"/>
  <c r="Y112" i="7"/>
  <c r="V100" i="7"/>
  <c r="V113" i="7"/>
  <c r="V112" i="7"/>
  <c r="AB100" i="7"/>
  <c r="AB113" i="7"/>
  <c r="AB112" i="7"/>
  <c r="Y100" i="7"/>
  <c r="Z113" i="7"/>
  <c r="Z112" i="7"/>
  <c r="W113" i="7"/>
  <c r="W112" i="7"/>
  <c r="AD113" i="7"/>
  <c r="AD112" i="7"/>
  <c r="AD100" i="7"/>
  <c r="AC113" i="7"/>
  <c r="AC112" i="7"/>
  <c r="AA100" i="7"/>
  <c r="U100" i="7"/>
  <c r="L82" i="7"/>
  <c r="Q82" i="7"/>
  <c r="K82" i="7"/>
  <c r="S82" i="7"/>
  <c r="H82" i="7"/>
  <c r="N82" i="7"/>
  <c r="G82" i="7"/>
  <c r="I82" i="7"/>
  <c r="P82" i="7"/>
  <c r="J82" i="7"/>
  <c r="F82" i="7"/>
  <c r="T82" i="7"/>
  <c r="U113" i="7"/>
  <c r="U112" i="7"/>
  <c r="AA113" i="7"/>
  <c r="AA112" i="7"/>
  <c r="X113" i="7"/>
  <c r="X112" i="7"/>
  <c r="Y90" i="7"/>
  <c r="U122" i="7"/>
  <c r="AA122" i="7"/>
  <c r="AC122" i="7"/>
  <c r="Y122" i="7"/>
  <c r="AD122" i="7"/>
  <c r="X122" i="7"/>
  <c r="W122" i="7"/>
  <c r="V122" i="7"/>
  <c r="Z122" i="7"/>
  <c r="AB122" i="7"/>
  <c r="Z121" i="7"/>
  <c r="AB121" i="7"/>
  <c r="AC121" i="7"/>
  <c r="U121" i="7"/>
  <c r="Y88" i="7"/>
  <c r="Y82" i="7"/>
  <c r="Y121" i="7"/>
  <c r="AD121" i="7"/>
  <c r="W121" i="7"/>
  <c r="AA121" i="7"/>
  <c r="X121" i="7"/>
  <c r="V121" i="7"/>
  <c r="W108" i="7"/>
  <c r="AD108" i="7"/>
  <c r="Y108" i="7"/>
  <c r="U108" i="7"/>
  <c r="AC108" i="7"/>
  <c r="V108" i="7"/>
  <c r="Z108" i="7"/>
  <c r="AA108" i="7"/>
  <c r="X108" i="7"/>
  <c r="AB108" i="7"/>
  <c r="AB123" i="7"/>
  <c r="U123" i="7"/>
  <c r="V123" i="7"/>
  <c r="Y123" i="7"/>
  <c r="X123" i="7"/>
  <c r="W123" i="7"/>
  <c r="AA123" i="7"/>
  <c r="AD123" i="7"/>
  <c r="Z123" i="7"/>
  <c r="AC123" i="7"/>
  <c r="U92" i="7"/>
  <c r="X92" i="7"/>
  <c r="Z93" i="7"/>
  <c r="AB93" i="7"/>
  <c r="AD92" i="7"/>
  <c r="V92" i="7"/>
  <c r="Z92" i="7"/>
  <c r="AC93" i="7"/>
  <c r="AC92" i="7"/>
  <c r="AA93" i="7"/>
  <c r="AB92" i="7"/>
  <c r="AA92" i="7"/>
  <c r="U93" i="7"/>
  <c r="V93" i="7"/>
  <c r="X93" i="7"/>
  <c r="AD93" i="7"/>
  <c r="Y93" i="7"/>
  <c r="Y92" i="7"/>
  <c r="W92" i="7"/>
  <c r="W93" i="7"/>
  <c r="W95" i="7"/>
  <c r="W91" i="7"/>
  <c r="W118" i="7"/>
  <c r="AD95" i="7"/>
  <c r="AD91" i="7"/>
  <c r="AD118" i="7"/>
  <c r="Z95" i="7"/>
  <c r="Z91" i="7"/>
  <c r="Z118" i="7"/>
  <c r="AA95" i="7"/>
  <c r="AA91" i="7"/>
  <c r="AA118" i="7"/>
  <c r="U95" i="7"/>
  <c r="U91" i="7"/>
  <c r="U118" i="7"/>
  <c r="AC95" i="7"/>
  <c r="AC91" i="7"/>
  <c r="AC118" i="7"/>
  <c r="AB95" i="7"/>
  <c r="AB91" i="7"/>
  <c r="AB118" i="7"/>
  <c r="V95" i="7"/>
  <c r="V91" i="7"/>
  <c r="V118" i="7"/>
  <c r="Y95" i="7"/>
  <c r="Y91" i="7"/>
  <c r="Y118" i="7"/>
  <c r="X95" i="7"/>
  <c r="X91" i="7"/>
  <c r="X118" i="7"/>
  <c r="AA125" i="7" a="1"/>
  <c r="AA125" i="7"/>
  <c r="AB124" i="7" a="1"/>
  <c r="AB124" i="7"/>
  <c r="AB125" i="7" a="1"/>
  <c r="AB125" i="7"/>
  <c r="AC124" i="7" a="1"/>
  <c r="AC124" i="7"/>
  <c r="AD125" i="7" a="1"/>
  <c r="AD125" i="7"/>
  <c r="Y125" i="7" a="1"/>
  <c r="Y125" i="7"/>
  <c r="Z124" i="7" a="1"/>
  <c r="Z124" i="7"/>
  <c r="Z125" i="7" a="1"/>
  <c r="Z125" i="7"/>
  <c r="AA124" i="7" a="1"/>
  <c r="AA124" i="7"/>
  <c r="W125" i="7" a="1"/>
  <c r="W125" i="7"/>
  <c r="X124" i="7" a="1"/>
  <c r="X124" i="7"/>
  <c r="X125" i="7" a="1"/>
  <c r="X125" i="7"/>
  <c r="Y124" i="7" a="1"/>
  <c r="Y124" i="7"/>
  <c r="U125" i="7" a="1"/>
  <c r="U125" i="7"/>
  <c r="V124" i="7" a="1"/>
  <c r="V124" i="7"/>
  <c r="AC125" i="7" a="1"/>
  <c r="AC125" i="7"/>
  <c r="AD124" i="7" a="1"/>
  <c r="AD124" i="7"/>
  <c r="V125" i="7" a="1"/>
  <c r="V125" i="7"/>
  <c r="W124" i="7" a="1"/>
  <c r="W124" i="7"/>
  <c r="Y126" i="7"/>
  <c r="Y128" i="7" a="1"/>
  <c r="Y128" i="7"/>
  <c r="Y127" i="7"/>
  <c r="Y129" i="7"/>
  <c r="Y130" i="7" a="1"/>
  <c r="Y130" i="7"/>
  <c r="Z126" i="7"/>
  <c r="Z128" i="7" a="1"/>
  <c r="Z128" i="7"/>
  <c r="Z127" i="7"/>
  <c r="Z129" i="7"/>
  <c r="Z130" i="7" a="1"/>
  <c r="Z130" i="7"/>
  <c r="AB126" i="7"/>
  <c r="AB128" i="7" a="1"/>
  <c r="AB128" i="7"/>
  <c r="AB127" i="7"/>
  <c r="AB129" i="7"/>
  <c r="AB130" i="7" a="1"/>
  <c r="AB130" i="7"/>
  <c r="U126" i="7"/>
  <c r="U128" i="7" a="1"/>
  <c r="U128" i="7"/>
  <c r="AD126" i="7"/>
  <c r="AD128" i="7" a="1"/>
  <c r="AD128" i="7"/>
  <c r="AD127" i="7"/>
  <c r="AD129" i="7"/>
  <c r="AD130" i="7" a="1"/>
  <c r="AD130" i="7"/>
  <c r="AA126" i="7"/>
  <c r="AA128" i="7" a="1"/>
  <c r="AA128" i="7"/>
  <c r="AA127" i="7"/>
  <c r="AA129" i="7"/>
  <c r="AA130" i="7" a="1"/>
  <c r="AA130" i="7"/>
  <c r="AC126" i="7"/>
  <c r="AC128" i="7" a="1"/>
  <c r="AC128" i="7"/>
  <c r="AC127" i="7"/>
  <c r="AC129" i="7"/>
  <c r="AC130" i="7" a="1"/>
  <c r="AC130" i="7"/>
  <c r="W126" i="7"/>
  <c r="W128" i="7" a="1"/>
  <c r="W128" i="7"/>
  <c r="W127" i="7"/>
  <c r="W129" i="7"/>
  <c r="W130" i="7" a="1"/>
  <c r="W130" i="7"/>
  <c r="X126" i="7"/>
  <c r="X128" i="7" a="1"/>
  <c r="X128" i="7"/>
  <c r="X127" i="7"/>
  <c r="X129" i="7"/>
  <c r="X130" i="7" a="1"/>
  <c r="X130" i="7"/>
  <c r="V126" i="7"/>
  <c r="V128" i="7" a="1"/>
  <c r="V128" i="7"/>
  <c r="V127" i="7"/>
  <c r="V129" i="7"/>
  <c r="V130" i="7" a="1"/>
  <c r="V130" i="7"/>
  <c r="U124" i="7" a="1"/>
  <c r="U124" i="7"/>
  <c r="U127" i="7"/>
  <c r="U129" i="7"/>
  <c r="U130" i="7" a="1"/>
  <c r="U130" i="7"/>
  <c r="R84" i="7"/>
  <c r="R82" i="7"/>
  <c r="O84" i="7"/>
  <c r="E40" i="7"/>
  <c r="O103" i="7"/>
  <c r="E47" i="7"/>
  <c r="E49" i="7"/>
  <c r="E42" i="7"/>
  <c r="J103" i="7"/>
  <c r="H103" i="7"/>
  <c r="G103" i="7"/>
  <c r="I103" i="7"/>
  <c r="E85" i="7"/>
  <c r="P120" i="7"/>
  <c r="E52" i="7"/>
  <c r="E50" i="7"/>
  <c r="O86" i="7"/>
  <c r="S103" i="7"/>
  <c r="R103" i="7"/>
  <c r="Q103" i="7"/>
  <c r="P103" i="7"/>
  <c r="F103" i="7"/>
  <c r="N103" i="7"/>
  <c r="M103" i="7"/>
  <c r="L103" i="7"/>
  <c r="T103" i="7"/>
  <c r="K103" i="7"/>
  <c r="S120" i="7"/>
  <c r="I120" i="7"/>
  <c r="Q120" i="7"/>
  <c r="K120" i="7"/>
  <c r="M120" i="7"/>
  <c r="N120" i="7"/>
  <c r="T120" i="7"/>
  <c r="F120" i="7"/>
  <c r="H120" i="7"/>
  <c r="J120" i="7"/>
  <c r="G120" i="7"/>
  <c r="O120" i="7"/>
  <c r="E43" i="7"/>
  <c r="E44" i="7"/>
  <c r="M86" i="7"/>
  <c r="L120" i="7"/>
  <c r="E45" i="7"/>
  <c r="G45" i="7"/>
  <c r="E48" i="7"/>
  <c r="R120" i="7"/>
  <c r="E51" i="7"/>
  <c r="G51" i="7"/>
  <c r="G50" i="7"/>
  <c r="G52" i="7"/>
  <c r="G40" i="7"/>
  <c r="G41" i="7"/>
  <c r="E155" i="7"/>
  <c r="E168" i="7"/>
  <c r="T104" i="7"/>
  <c r="G104" i="7"/>
  <c r="I104" i="7"/>
  <c r="P104" i="7"/>
  <c r="S104" i="7"/>
  <c r="H104" i="7"/>
  <c r="M104" i="7"/>
  <c r="L104" i="7"/>
  <c r="O104" i="7"/>
  <c r="Q104" i="7"/>
  <c r="K104" i="7"/>
  <c r="F104" i="7"/>
  <c r="C193" i="7"/>
  <c r="E46" i="7"/>
  <c r="G46" i="7"/>
  <c r="E154" i="7"/>
  <c r="R104" i="7"/>
  <c r="J104" i="7"/>
  <c r="N104" i="7"/>
  <c r="E27" i="7"/>
  <c r="P99" i="7"/>
  <c r="R99" i="7"/>
  <c r="T99" i="7"/>
  <c r="J99" i="7"/>
  <c r="L99" i="7"/>
  <c r="N11" i="7"/>
  <c r="N99" i="7"/>
  <c r="Q99" i="7"/>
  <c r="O99" i="7"/>
  <c r="F99" i="7"/>
  <c r="C192" i="7"/>
  <c r="K99" i="7"/>
  <c r="H99" i="7"/>
  <c r="G99" i="7"/>
  <c r="I99" i="7"/>
  <c r="M99" i="7"/>
  <c r="S99" i="7"/>
  <c r="N10" i="7"/>
  <c r="E28" i="7"/>
  <c r="E29" i="7"/>
  <c r="E83" i="7"/>
  <c r="N13" i="7"/>
  <c r="E33" i="7"/>
  <c r="E63" i="7"/>
  <c r="E37" i="7"/>
  <c r="E30" i="7"/>
  <c r="N14" i="7"/>
  <c r="M119" i="7"/>
  <c r="O119" i="7"/>
  <c r="Q119" i="7"/>
  <c r="C189" i="7"/>
  <c r="D189" i="7"/>
  <c r="T119" i="7"/>
  <c r="G119" i="7"/>
  <c r="F119" i="7"/>
  <c r="S119" i="7"/>
  <c r="J119" i="7"/>
  <c r="M84" i="7"/>
  <c r="M82" i="7"/>
  <c r="I119" i="7"/>
  <c r="R119" i="7"/>
  <c r="N119" i="7"/>
  <c r="K119" i="7"/>
  <c r="L119" i="7"/>
  <c r="P119" i="7"/>
  <c r="H119" i="7"/>
  <c r="H114" i="7"/>
  <c r="O114" i="7"/>
  <c r="S114" i="7"/>
  <c r="J114" i="7"/>
  <c r="R114" i="7"/>
  <c r="I114" i="7"/>
  <c r="E41" i="11"/>
  <c r="L114" i="7"/>
  <c r="T114" i="7"/>
  <c r="F114" i="7"/>
  <c r="C199" i="7"/>
  <c r="D199" i="7"/>
  <c r="N114" i="7"/>
  <c r="G114" i="7"/>
  <c r="Q114" i="7"/>
  <c r="P114" i="7"/>
  <c r="K114" i="7"/>
  <c r="M114" i="7"/>
  <c r="Q113" i="7"/>
  <c r="S113" i="7"/>
  <c r="G35" i="7"/>
  <c r="E40" i="11"/>
  <c r="H113" i="7"/>
  <c r="J113" i="7"/>
  <c r="L113" i="7"/>
  <c r="D197" i="7"/>
  <c r="N113" i="7"/>
  <c r="G25" i="7"/>
  <c r="G26" i="7"/>
  <c r="E152" i="7"/>
  <c r="D193" i="7"/>
  <c r="P113" i="7"/>
  <c r="R113" i="7"/>
  <c r="T113" i="7"/>
  <c r="D192" i="7"/>
  <c r="G113" i="7"/>
  <c r="I113" i="7"/>
  <c r="K113" i="7"/>
  <c r="M113" i="7"/>
  <c r="F113" i="7"/>
  <c r="O113" i="7"/>
  <c r="E55" i="7"/>
  <c r="N12" i="7"/>
  <c r="P100" i="7"/>
  <c r="R100" i="7"/>
  <c r="T100" i="7"/>
  <c r="G30" i="7"/>
  <c r="G100" i="7"/>
  <c r="I100" i="7"/>
  <c r="K100" i="7"/>
  <c r="M100" i="7"/>
  <c r="O100" i="7"/>
  <c r="E31" i="7"/>
  <c r="G31" i="7"/>
  <c r="E151" i="7"/>
  <c r="C215" i="7"/>
  <c r="Q100" i="7"/>
  <c r="S100" i="7"/>
  <c r="F100" i="7"/>
  <c r="H100" i="7"/>
  <c r="J100" i="7"/>
  <c r="L100" i="7"/>
  <c r="E36" i="11"/>
  <c r="N100" i="7"/>
  <c r="N15" i="7"/>
  <c r="G37" i="7"/>
  <c r="E67" i="7"/>
  <c r="E64" i="7"/>
  <c r="T112" i="7"/>
  <c r="F112" i="7"/>
  <c r="E52" i="11"/>
  <c r="H65" i="17"/>
  <c r="F65" i="17" a="1"/>
  <c r="F65" i="17"/>
  <c r="S112" i="7"/>
  <c r="Q112" i="7"/>
  <c r="L112" i="7"/>
  <c r="P112" i="7"/>
  <c r="N112" i="7"/>
  <c r="R112" i="7"/>
  <c r="G112" i="7"/>
  <c r="O112" i="7"/>
  <c r="K112" i="7"/>
  <c r="J112" i="7"/>
  <c r="M112" i="7"/>
  <c r="I112" i="7"/>
  <c r="H112" i="7"/>
  <c r="E56" i="7"/>
  <c r="E87" i="7"/>
  <c r="E60" i="7"/>
  <c r="E58" i="7"/>
  <c r="C214" i="7"/>
  <c r="C217" i="7"/>
  <c r="D174" i="7"/>
  <c r="E66" i="7"/>
  <c r="N20" i="7"/>
  <c r="E89" i="7"/>
  <c r="F122" i="7"/>
  <c r="M122" i="7"/>
  <c r="L122" i="7"/>
  <c r="J122" i="7"/>
  <c r="O122" i="7"/>
  <c r="Q122" i="7"/>
  <c r="K122" i="7"/>
  <c r="C191" i="7"/>
  <c r="D191" i="7"/>
  <c r="T122" i="7"/>
  <c r="R122" i="7"/>
  <c r="H122" i="7"/>
  <c r="G122" i="7"/>
  <c r="I122" i="7"/>
  <c r="P122" i="7"/>
  <c r="S122" i="7"/>
  <c r="N122" i="7"/>
  <c r="N108" i="7"/>
  <c r="N18" i="7"/>
  <c r="E37" i="11"/>
  <c r="P108" i="7"/>
  <c r="R108" i="7"/>
  <c r="T108" i="7"/>
  <c r="G108" i="7"/>
  <c r="I108" i="7"/>
  <c r="K108" i="7"/>
  <c r="M108" i="7"/>
  <c r="O108" i="7"/>
  <c r="Q108" i="7"/>
  <c r="S108" i="7"/>
  <c r="F108" i="7"/>
  <c r="C194" i="7"/>
  <c r="D194" i="7"/>
  <c r="H108" i="7"/>
  <c r="J108" i="7"/>
  <c r="L108" i="7"/>
  <c r="G58" i="7"/>
  <c r="G59" i="7"/>
  <c r="E157" i="7"/>
  <c r="Q121" i="7"/>
  <c r="O121" i="7"/>
  <c r="C190" i="7"/>
  <c r="D190" i="7"/>
  <c r="D144" i="7"/>
  <c r="K121" i="7"/>
  <c r="S121" i="7"/>
  <c r="R121" i="7"/>
  <c r="H121" i="7"/>
  <c r="J121" i="7"/>
  <c r="G121" i="7"/>
  <c r="T121" i="7"/>
  <c r="I121" i="7"/>
  <c r="P121" i="7"/>
  <c r="O88" i="7"/>
  <c r="O82" i="7"/>
  <c r="N121" i="7"/>
  <c r="L121" i="7"/>
  <c r="F121" i="7"/>
  <c r="M121" i="7"/>
  <c r="E82" i="7"/>
  <c r="J123" i="7"/>
  <c r="I123" i="7"/>
  <c r="S123" i="7"/>
  <c r="L123" i="7"/>
  <c r="N123" i="7"/>
  <c r="G123" i="7"/>
  <c r="M123" i="7"/>
  <c r="T123" i="7"/>
  <c r="F123" i="7"/>
  <c r="C216" i="7"/>
  <c r="C218" i="7"/>
  <c r="D173" i="7"/>
  <c r="D175" i="7"/>
  <c r="G93" i="7"/>
  <c r="I93" i="7"/>
  <c r="K93" i="7"/>
  <c r="M93" i="7"/>
  <c r="O92" i="7"/>
  <c r="E50" i="11"/>
  <c r="H63" i="17"/>
  <c r="F63" i="17" a="1"/>
  <c r="F63" i="17"/>
  <c r="O93" i="7"/>
  <c r="F92" i="7"/>
  <c r="Q92" i="7"/>
  <c r="S92" i="7"/>
  <c r="F93" i="7"/>
  <c r="Q93" i="7"/>
  <c r="S93" i="7"/>
  <c r="H92" i="7"/>
  <c r="J92" i="7"/>
  <c r="L92" i="7"/>
  <c r="H93" i="7"/>
  <c r="J93" i="7"/>
  <c r="L93" i="7"/>
  <c r="E124" i="7" a="1"/>
  <c r="E124" i="7"/>
  <c r="N92" i="7"/>
  <c r="N93" i="7"/>
  <c r="P92" i="7"/>
  <c r="R92" i="7"/>
  <c r="T92" i="7"/>
  <c r="P93" i="7"/>
  <c r="R93" i="7"/>
  <c r="T93" i="7"/>
  <c r="G92" i="7"/>
  <c r="I92" i="7"/>
  <c r="K92" i="7"/>
  <c r="M92" i="7"/>
  <c r="R123" i="7"/>
  <c r="E59" i="11"/>
  <c r="H72" i="17"/>
  <c r="F72" i="17" a="1"/>
  <c r="F72" i="17"/>
  <c r="H123" i="7"/>
  <c r="K123" i="7"/>
  <c r="O123" i="7"/>
  <c r="P123" i="7"/>
  <c r="Q123" i="7"/>
  <c r="F124" i="7" a="1"/>
  <c r="F124" i="7"/>
  <c r="O125" i="7" a="1"/>
  <c r="O125" i="7"/>
  <c r="P124" i="7" a="1"/>
  <c r="P124" i="7"/>
  <c r="Q125" i="7" a="1"/>
  <c r="Q125" i="7"/>
  <c r="R124" i="7" a="1"/>
  <c r="R124" i="7"/>
  <c r="S125" i="7" a="1"/>
  <c r="S125" i="7"/>
  <c r="T124" i="7" a="1"/>
  <c r="T124" i="7"/>
  <c r="F125" i="7" a="1"/>
  <c r="F125" i="7"/>
  <c r="G124" i="7" a="1"/>
  <c r="G124" i="7"/>
  <c r="H125" i="7" a="1"/>
  <c r="H125" i="7"/>
  <c r="I124" i="7" a="1"/>
  <c r="I124" i="7"/>
  <c r="J125" i="7" a="1"/>
  <c r="J125" i="7"/>
  <c r="K124" i="7" a="1"/>
  <c r="K124" i="7"/>
  <c r="L125" i="7" a="1"/>
  <c r="L125" i="7"/>
  <c r="M124" i="7" a="1"/>
  <c r="M124" i="7"/>
  <c r="N125" i="7" a="1"/>
  <c r="N125" i="7"/>
  <c r="O124" i="7" a="1"/>
  <c r="O124" i="7"/>
  <c r="P125" i="7" a="1"/>
  <c r="P125" i="7"/>
  <c r="Q124" i="7" a="1"/>
  <c r="Q124" i="7"/>
  <c r="R125" i="7" a="1"/>
  <c r="R125" i="7"/>
  <c r="S124" i="7" a="1"/>
  <c r="S124" i="7"/>
  <c r="T125" i="7" a="1"/>
  <c r="T125" i="7"/>
  <c r="G125" i="7" a="1"/>
  <c r="G125" i="7"/>
  <c r="H124" i="7" a="1"/>
  <c r="H124" i="7"/>
  <c r="I125" i="7" a="1"/>
  <c r="I125" i="7"/>
  <c r="J124" i="7" a="1"/>
  <c r="J124" i="7"/>
  <c r="K125" i="7" a="1"/>
  <c r="K125" i="7"/>
  <c r="L124" i="7" a="1"/>
  <c r="L124" i="7"/>
  <c r="M125" i="7" a="1"/>
  <c r="M125" i="7"/>
  <c r="N124" i="7" a="1"/>
  <c r="N124" i="7"/>
  <c r="D176" i="7"/>
  <c r="E62" i="11"/>
  <c r="H100" i="17"/>
  <c r="F100" i="17" a="1"/>
  <c r="F100" i="17"/>
  <c r="D177" i="7"/>
  <c r="E61" i="11"/>
  <c r="H99" i="17"/>
  <c r="F99" i="17" a="1"/>
  <c r="F99" i="17"/>
  <c r="D80" i="17"/>
  <c r="C195" i="7"/>
  <c r="D195" i="7"/>
  <c r="E129" i="7"/>
  <c r="C196" i="7"/>
  <c r="D196" i="7"/>
  <c r="G95" i="7"/>
  <c r="G91" i="7"/>
  <c r="G118" i="7"/>
  <c r="I95" i="7"/>
  <c r="I91" i="7"/>
  <c r="I118" i="7"/>
  <c r="K95" i="7"/>
  <c r="K91" i="7"/>
  <c r="K118" i="7"/>
  <c r="M95" i="7"/>
  <c r="M91" i="7"/>
  <c r="M118" i="7"/>
  <c r="O95" i="7"/>
  <c r="O91" i="7"/>
  <c r="O118" i="7"/>
  <c r="F95" i="7"/>
  <c r="C198" i="7"/>
  <c r="D198" i="7"/>
  <c r="Q95" i="7"/>
  <c r="Q91" i="7"/>
  <c r="Q118" i="7"/>
  <c r="S95" i="7"/>
  <c r="S91" i="7"/>
  <c r="S118" i="7"/>
  <c r="H95" i="7"/>
  <c r="H91" i="7"/>
  <c r="H118" i="7"/>
  <c r="J95" i="7"/>
  <c r="J91" i="7"/>
  <c r="J118" i="7"/>
  <c r="L95" i="7"/>
  <c r="L91" i="7"/>
  <c r="L118" i="7"/>
  <c r="N95" i="7"/>
  <c r="N91" i="7"/>
  <c r="N118" i="7"/>
  <c r="P95" i="7"/>
  <c r="P91" i="7"/>
  <c r="P118" i="7"/>
  <c r="R95" i="7"/>
  <c r="R91" i="7"/>
  <c r="R118" i="7"/>
  <c r="T95" i="7"/>
  <c r="T91" i="7"/>
  <c r="T118" i="7"/>
  <c r="D88" i="17"/>
  <c r="H127" i="7"/>
  <c r="H129" i="7"/>
  <c r="H130" i="7" a="1"/>
  <c r="H130" i="7"/>
  <c r="H126" i="7"/>
  <c r="H128" i="7" a="1"/>
  <c r="H128" i="7"/>
  <c r="P126" i="7"/>
  <c r="P128" i="7" a="1"/>
  <c r="P128" i="7"/>
  <c r="P127" i="7"/>
  <c r="P129" i="7"/>
  <c r="P130" i="7" a="1"/>
  <c r="P130" i="7"/>
  <c r="I127" i="7"/>
  <c r="I129" i="7"/>
  <c r="I130" i="7" a="1"/>
  <c r="I130" i="7"/>
  <c r="I126" i="7"/>
  <c r="I128" i="7" a="1"/>
  <c r="I128" i="7"/>
  <c r="N126" i="7"/>
  <c r="N128" i="7" a="1"/>
  <c r="N128" i="7"/>
  <c r="N127" i="7"/>
  <c r="N129" i="7"/>
  <c r="N130" i="7" a="1"/>
  <c r="N130" i="7"/>
  <c r="S126" i="7"/>
  <c r="S128" i="7" a="1"/>
  <c r="S128" i="7"/>
  <c r="S127" i="7"/>
  <c r="S129" i="7"/>
  <c r="S130" i="7" a="1"/>
  <c r="S130" i="7"/>
  <c r="Q127" i="7"/>
  <c r="Q129" i="7"/>
  <c r="Q130" i="7" a="1"/>
  <c r="Q130" i="7"/>
  <c r="Q126" i="7"/>
  <c r="Q128" i="7" a="1"/>
  <c r="Q128" i="7"/>
  <c r="L126" i="7"/>
  <c r="L128" i="7" a="1"/>
  <c r="L128" i="7"/>
  <c r="L127" i="7"/>
  <c r="L129" i="7"/>
  <c r="L130" i="7" a="1"/>
  <c r="L130" i="7"/>
  <c r="O126" i="7"/>
  <c r="O128" i="7" a="1"/>
  <c r="O128" i="7"/>
  <c r="O127" i="7"/>
  <c r="O129" i="7"/>
  <c r="O130" i="7" a="1"/>
  <c r="O130" i="7"/>
  <c r="M127" i="7"/>
  <c r="M129" i="7"/>
  <c r="M130" i="7" a="1"/>
  <c r="M130" i="7"/>
  <c r="M126" i="7"/>
  <c r="M128" i="7" a="1"/>
  <c r="M128" i="7"/>
  <c r="K126" i="7"/>
  <c r="K128" i="7" a="1"/>
  <c r="K128" i="7"/>
  <c r="K127" i="7"/>
  <c r="K129" i="7"/>
  <c r="K130" i="7" a="1"/>
  <c r="K130" i="7"/>
  <c r="F91" i="7"/>
  <c r="R126" i="7"/>
  <c r="R128" i="7" a="1"/>
  <c r="R128" i="7"/>
  <c r="R127" i="7"/>
  <c r="R129" i="7"/>
  <c r="R130" i="7" a="1"/>
  <c r="R130" i="7"/>
  <c r="T126" i="7"/>
  <c r="T128" i="7" a="1"/>
  <c r="T128" i="7"/>
  <c r="T127" i="7"/>
  <c r="T129" i="7"/>
  <c r="T130" i="7" a="1"/>
  <c r="T130" i="7"/>
  <c r="G126" i="7"/>
  <c r="G128" i="7" a="1"/>
  <c r="G128" i="7"/>
  <c r="G127" i="7"/>
  <c r="G129" i="7"/>
  <c r="G130" i="7" a="1"/>
  <c r="G130" i="7"/>
  <c r="J126" i="7"/>
  <c r="J128" i="7" a="1"/>
  <c r="J128" i="7"/>
  <c r="J127" i="7"/>
  <c r="J129" i="7"/>
  <c r="J130" i="7" a="1"/>
  <c r="J130" i="7"/>
  <c r="D200" i="7"/>
  <c r="E63" i="11"/>
  <c r="H101" i="17"/>
  <c r="F101" i="17" a="1"/>
  <c r="F101" i="17"/>
  <c r="F80" i="17"/>
  <c r="D289" i="7"/>
  <c r="D178" i="7"/>
  <c r="E64" i="11"/>
  <c r="H102" i="17"/>
  <c r="F102" i="17" a="1"/>
  <c r="F102" i="17"/>
  <c r="F88" i="17"/>
  <c r="D182" i="7"/>
  <c r="E66" i="11"/>
  <c r="H128" i="17"/>
  <c r="F128" i="17" a="1"/>
  <c r="F128" i="17"/>
  <c r="F108" i="17"/>
  <c r="F116" i="17"/>
  <c r="E51" i="11"/>
  <c r="H64" i="17"/>
  <c r="F64" i="17" a="1"/>
  <c r="F64" i="17"/>
  <c r="D142" i="7"/>
  <c r="E57" i="11"/>
  <c r="H70" i="17"/>
  <c r="F70" i="17" a="1"/>
  <c r="F70" i="17"/>
  <c r="K43" i="17"/>
  <c r="K51" i="17"/>
  <c r="D145" i="7"/>
  <c r="F118" i="7"/>
  <c r="F126" i="7"/>
  <c r="F128" i="7" a="1"/>
  <c r="F128" i="7"/>
  <c r="F127" i="7"/>
  <c r="F129" i="7"/>
  <c r="E60" i="11"/>
  <c r="H73" i="17"/>
  <c r="F73" i="17" a="1"/>
  <c r="F73" i="17"/>
  <c r="D143" i="7"/>
  <c r="C266" i="7"/>
  <c r="E58" i="11"/>
  <c r="H71" i="17"/>
  <c r="F71" i="17" a="1"/>
  <c r="F71" i="17"/>
  <c r="D181" i="7"/>
  <c r="E65" i="11"/>
  <c r="H127" i="17"/>
  <c r="F127" i="17" a="1"/>
  <c r="F127" i="17"/>
  <c r="D108" i="17"/>
  <c r="D116" i="17"/>
  <c r="E144" i="7"/>
  <c r="E145" i="7"/>
  <c r="D138" i="7" a="1"/>
  <c r="D138" i="7"/>
  <c r="E53" i="11"/>
  <c r="H66" i="17"/>
  <c r="F66" i="17" a="1"/>
  <c r="F66" i="17"/>
  <c r="F130" i="7" a="1"/>
  <c r="F130" i="7"/>
  <c r="F132" i="7"/>
  <c r="F131" i="7"/>
  <c r="D139" i="7"/>
  <c r="E54" i="11"/>
  <c r="H67" i="17"/>
  <c r="F67" i="17" a="1"/>
  <c r="F67" i="17"/>
  <c r="D43" i="17"/>
  <c r="D51" i="17"/>
  <c r="G131" i="7"/>
  <c r="F133" i="7"/>
  <c r="F134" i="7"/>
  <c r="G132" i="7"/>
  <c r="G134" i="7"/>
  <c r="H132" i="7"/>
  <c r="G133" i="7"/>
  <c r="H131" i="7"/>
  <c r="I131" i="7"/>
  <c r="H133" i="7"/>
  <c r="I132" i="7"/>
  <c r="H134" i="7"/>
  <c r="J132" i="7"/>
  <c r="I134" i="7"/>
  <c r="J131" i="7"/>
  <c r="I133" i="7"/>
  <c r="K131" i="7"/>
  <c r="J133" i="7"/>
  <c r="K132" i="7"/>
  <c r="J134" i="7"/>
  <c r="K134" i="7"/>
  <c r="L132" i="7"/>
  <c r="L131" i="7"/>
  <c r="K133" i="7"/>
  <c r="M131" i="7"/>
  <c r="L133" i="7"/>
  <c r="M132" i="7"/>
  <c r="L134" i="7"/>
  <c r="N132" i="7"/>
  <c r="M134" i="7"/>
  <c r="M133" i="7"/>
  <c r="N131" i="7"/>
  <c r="N133" i="7"/>
  <c r="O131" i="7"/>
  <c r="O132" i="7"/>
  <c r="N134" i="7"/>
  <c r="O134" i="7"/>
  <c r="P132" i="7"/>
  <c r="O133" i="7"/>
  <c r="P131" i="7"/>
  <c r="P133" i="7"/>
  <c r="Q131" i="7"/>
  <c r="Q132" i="7"/>
  <c r="P134" i="7"/>
  <c r="Q134" i="7"/>
  <c r="R132" i="7"/>
  <c r="Q133" i="7"/>
  <c r="R131" i="7"/>
  <c r="S131" i="7"/>
  <c r="R133" i="7"/>
  <c r="R134" i="7"/>
  <c r="S132" i="7"/>
  <c r="S134" i="7"/>
  <c r="T132" i="7"/>
  <c r="S133" i="7"/>
  <c r="T131" i="7"/>
  <c r="U131" i="7"/>
  <c r="T133" i="7"/>
  <c r="T134" i="7"/>
  <c r="U132" i="7"/>
  <c r="V132" i="7"/>
  <c r="U134" i="7"/>
  <c r="V131" i="7"/>
  <c r="U133" i="7"/>
  <c r="W131" i="7"/>
  <c r="V133" i="7"/>
  <c r="W132" i="7"/>
  <c r="V134" i="7"/>
  <c r="X132" i="7"/>
  <c r="W134" i="7"/>
  <c r="X131" i="7"/>
  <c r="W133" i="7"/>
  <c r="Y131" i="7"/>
  <c r="X133" i="7"/>
  <c r="Y132" i="7"/>
  <c r="X134" i="7"/>
  <c r="Z132" i="7"/>
  <c r="Y134" i="7"/>
  <c r="Y133" i="7"/>
  <c r="Z131" i="7"/>
  <c r="Z133" i="7"/>
  <c r="AA131" i="7"/>
  <c r="AA132" i="7"/>
  <c r="Z134" i="7"/>
  <c r="AA134" i="7"/>
  <c r="AB132" i="7"/>
  <c r="AA133" i="7"/>
  <c r="AB131" i="7"/>
  <c r="AB133" i="7"/>
  <c r="AC131" i="7"/>
  <c r="AB134" i="7"/>
  <c r="AC132" i="7"/>
  <c r="AC134" i="7"/>
  <c r="AD132" i="7"/>
  <c r="AC133" i="7"/>
  <c r="AD131" i="7"/>
  <c r="AD133" i="7"/>
  <c r="AE131" i="7"/>
  <c r="AD134" i="7"/>
  <c r="AE132" i="7"/>
  <c r="AE134" i="7"/>
  <c r="AF132" i="7"/>
  <c r="AE133" i="7"/>
  <c r="AF131" i="7"/>
  <c r="AG131" i="7"/>
  <c r="AF133" i="7"/>
  <c r="AF134" i="7"/>
  <c r="AG132" i="7"/>
  <c r="AH132" i="7"/>
  <c r="AG134" i="7"/>
  <c r="AH131" i="7"/>
  <c r="AG133" i="7"/>
  <c r="AH133" i="7"/>
  <c r="AI131" i="7"/>
  <c r="AI133" i="7"/>
  <c r="D140" i="7"/>
  <c r="E55" i="11"/>
  <c r="H68" i="17"/>
  <c r="F68" i="17" a="1"/>
  <c r="F68" i="17"/>
  <c r="AI132" i="7"/>
  <c r="AI134" i="7"/>
  <c r="AH134" i="7"/>
  <c r="D141" i="7"/>
  <c r="E56" i="11"/>
  <c r="H69" i="17"/>
  <c r="F69" i="17" a="1"/>
  <c r="F6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D15" authorId="0" shapeId="0" xr:uid="{00000000-0006-0000-0300-000001000000}">
      <text>
        <r>
          <rPr>
            <u/>
            <sz val="9"/>
            <color indexed="81"/>
            <rFont val="Tahoma"/>
            <family val="2"/>
          </rPr>
          <t xml:space="preserve">References: </t>
        </r>
        <r>
          <rPr>
            <sz val="9"/>
            <color indexed="81"/>
            <rFont val="Tahoma"/>
            <family val="2"/>
          </rPr>
          <t xml:space="preserve">
[1] 8.47 ton CO2/ton H2 [Katebah et al, 2022]
Hydrogen production by SMR is associated with significant amounts of CO2 emissions, ranging from 7.5 to 12 tons of CO2 per ton of hydrogen produced
[2] 11.9 kg CO2 eq./kg H2 [Cetinkaya et al., 2012]
[3] 9.35-11.2 kg CO2 eq.kg H2 (with 11.2 considering the full life cycle) - these values were based on facility-level real emissions data collected from multiple US EPA databases [Cho et al., 2022]
</t>
        </r>
      </text>
    </comment>
    <comment ref="E15" authorId="0" shapeId="0" xr:uid="{00000000-0006-0000-0300-000002000000}">
      <text>
        <r>
          <rPr>
            <i/>
            <u/>
            <sz val="9"/>
            <color indexed="81"/>
            <rFont val="Tahoma"/>
            <family val="2"/>
          </rPr>
          <t xml:space="preserve">References: </t>
        </r>
        <r>
          <rPr>
            <sz val="9"/>
            <color indexed="81"/>
            <rFont val="Tahoma"/>
            <family val="2"/>
          </rPr>
          <t xml:space="preserve">
[1] 
[2] </t>
        </r>
      </text>
    </comment>
    <comment ref="D16" authorId="0" shapeId="0" xr:uid="{00000000-0006-0000-0300-000003000000}">
      <text>
        <r>
          <rPr>
            <u/>
            <sz val="9"/>
            <color indexed="81"/>
            <rFont val="Tahoma"/>
            <family val="2"/>
          </rPr>
          <t xml:space="preserve">References: </t>
        </r>
        <r>
          <rPr>
            <sz val="9"/>
            <color indexed="81"/>
            <rFont val="Tahoma"/>
            <family val="2"/>
          </rPr>
          <t xml:space="preserve">
[1] 
[2] </t>
        </r>
      </text>
    </comment>
    <comment ref="E16" authorId="0" shapeId="0" xr:uid="{00000000-0006-0000-0300-000004000000}">
      <text>
        <r>
          <rPr>
            <i/>
            <u/>
            <sz val="9"/>
            <color indexed="81"/>
            <rFont val="Tahoma"/>
            <family val="2"/>
          </rPr>
          <t xml:space="preserve">References: </t>
        </r>
        <r>
          <rPr>
            <sz val="9"/>
            <color indexed="81"/>
            <rFont val="Tahoma"/>
            <family val="2"/>
          </rPr>
          <t xml:space="preserve">
[1] 
[2] </t>
        </r>
      </text>
    </comment>
    <comment ref="D17" authorId="0" shapeId="0" xr:uid="{00000000-0006-0000-0300-000005000000}">
      <text>
        <r>
          <rPr>
            <u/>
            <sz val="9"/>
            <color indexed="81"/>
            <rFont val="Tahoma"/>
            <family val="2"/>
          </rPr>
          <t xml:space="preserve">References: </t>
        </r>
        <r>
          <rPr>
            <sz val="9"/>
            <color indexed="81"/>
            <rFont val="Tahoma"/>
            <family val="2"/>
          </rPr>
          <t xml:space="preserve">
[1] 
[2] </t>
        </r>
      </text>
    </comment>
    <comment ref="E17" authorId="0" shapeId="0" xr:uid="{00000000-0006-0000-0300-000006000000}">
      <text>
        <r>
          <rPr>
            <i/>
            <u/>
            <sz val="9"/>
            <color indexed="81"/>
            <rFont val="Tahoma"/>
            <family val="2"/>
          </rPr>
          <t xml:space="preserve">References: </t>
        </r>
        <r>
          <rPr>
            <sz val="9"/>
            <color indexed="81"/>
            <rFont val="Tahoma"/>
            <family val="2"/>
          </rPr>
          <t xml:space="preserve">
[1] 
[2]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C8" authorId="0" shapeId="0" xr:uid="{00000000-0006-0000-0400-000001000000}">
      <text>
        <r>
          <rPr>
            <i/>
            <u/>
            <sz val="9"/>
            <color indexed="81"/>
            <rFont val="Tahoma"/>
            <family val="2"/>
          </rPr>
          <t>References:</t>
        </r>
        <r>
          <rPr>
            <sz val="9"/>
            <color indexed="81"/>
            <rFont val="Tahoma"/>
            <family val="2"/>
          </rPr>
          <t xml:space="preserve">
[1] 
[2] </t>
        </r>
      </text>
    </comment>
    <comment ref="C9" authorId="0" shapeId="0" xr:uid="{00000000-0006-0000-0400-000002000000}">
      <text>
        <r>
          <rPr>
            <i/>
            <u/>
            <sz val="9"/>
            <color indexed="81"/>
            <rFont val="Tahoma"/>
            <family val="2"/>
          </rPr>
          <t xml:space="preserve">References: </t>
        </r>
        <r>
          <rPr>
            <sz val="9"/>
            <color indexed="81"/>
            <rFont val="Tahoma"/>
            <family val="2"/>
          </rPr>
          <t xml:space="preserve">
[1] 
[2] </t>
        </r>
      </text>
    </comment>
    <comment ref="C10" authorId="0" shapeId="0" xr:uid="{00000000-0006-0000-0400-000003000000}">
      <text>
        <r>
          <rPr>
            <i/>
            <u/>
            <sz val="9"/>
            <color indexed="81"/>
            <rFont val="Tahoma"/>
            <family val="2"/>
          </rPr>
          <t xml:space="preserve">References: </t>
        </r>
        <r>
          <rPr>
            <sz val="9"/>
            <color indexed="81"/>
            <rFont val="Tahoma"/>
            <family val="2"/>
          </rPr>
          <t xml:space="preserve">
[1] 
[2] 
</t>
        </r>
      </text>
    </comment>
    <comment ref="C11" authorId="0" shapeId="0" xr:uid="{00000000-0006-0000-0400-000004000000}">
      <text>
        <r>
          <rPr>
            <i/>
            <u/>
            <sz val="9"/>
            <color indexed="81"/>
            <rFont val="Tahoma"/>
            <family val="2"/>
          </rPr>
          <t xml:space="preserve">References: </t>
        </r>
        <r>
          <rPr>
            <sz val="9"/>
            <color indexed="81"/>
            <rFont val="Tahoma"/>
            <family val="2"/>
          </rPr>
          <t xml:space="preserve">
[1] 
[2] 
</t>
        </r>
      </text>
    </comment>
    <comment ref="C12" authorId="0" shapeId="0" xr:uid="{00000000-0006-0000-0400-000005000000}">
      <text>
        <r>
          <rPr>
            <i/>
            <u/>
            <sz val="9"/>
            <color indexed="81"/>
            <rFont val="Tahoma"/>
            <family val="2"/>
          </rPr>
          <t>References:</t>
        </r>
        <r>
          <rPr>
            <sz val="9"/>
            <color indexed="81"/>
            <rFont val="Tahoma"/>
            <family val="2"/>
          </rPr>
          <t xml:space="preserve">
[1] 
[2] </t>
        </r>
      </text>
    </comment>
    <comment ref="C13" authorId="0" shapeId="0" xr:uid="{00000000-0006-0000-0400-000006000000}">
      <text>
        <r>
          <rPr>
            <i/>
            <u/>
            <sz val="9"/>
            <color indexed="81"/>
            <rFont val="Tahoma"/>
            <family val="2"/>
          </rPr>
          <t xml:space="preserve">References: </t>
        </r>
        <r>
          <rPr>
            <sz val="9"/>
            <color indexed="81"/>
            <rFont val="Tahoma"/>
            <family val="2"/>
          </rPr>
          <t xml:space="preserve">
[1] 
[2] 
</t>
        </r>
      </text>
    </comment>
    <comment ref="C14" authorId="0" shapeId="0" xr:uid="{00000000-0006-0000-0400-000007000000}">
      <text>
        <r>
          <rPr>
            <i/>
            <u/>
            <sz val="9"/>
            <color indexed="81"/>
            <rFont val="Tahoma"/>
            <family val="2"/>
          </rPr>
          <t xml:space="preserve">References: </t>
        </r>
        <r>
          <rPr>
            <sz val="9"/>
            <color indexed="81"/>
            <rFont val="Tahoma"/>
            <family val="2"/>
          </rPr>
          <t xml:space="preserve">
[1] 
[2] </t>
        </r>
      </text>
    </comment>
    <comment ref="C15" authorId="0" shapeId="0" xr:uid="{00000000-0006-0000-0400-000008000000}">
      <text>
        <r>
          <rPr>
            <i/>
            <u/>
            <sz val="9"/>
            <color indexed="81"/>
            <rFont val="Tahoma"/>
            <family val="2"/>
          </rPr>
          <t xml:space="preserve">References: </t>
        </r>
        <r>
          <rPr>
            <sz val="9"/>
            <color indexed="81"/>
            <rFont val="Tahoma"/>
            <family val="2"/>
          </rPr>
          <t xml:space="preserve">
[1] 
[2] </t>
        </r>
      </text>
    </comment>
    <comment ref="C16" authorId="0" shapeId="0" xr:uid="{00000000-0006-0000-0400-000009000000}">
      <text>
        <r>
          <rPr>
            <i/>
            <u/>
            <sz val="9"/>
            <color indexed="81"/>
            <rFont val="Tahoma"/>
            <family val="2"/>
          </rPr>
          <t xml:space="preserve">References: </t>
        </r>
        <r>
          <rPr>
            <sz val="9"/>
            <color indexed="81"/>
            <rFont val="Tahoma"/>
            <family val="2"/>
          </rPr>
          <t xml:space="preserve">
[1] 
[2] </t>
        </r>
      </text>
    </comment>
    <comment ref="C17" authorId="0" shapeId="0" xr:uid="{00000000-0006-0000-0400-00000A000000}">
      <text>
        <r>
          <rPr>
            <i/>
            <u/>
            <sz val="9"/>
            <color indexed="81"/>
            <rFont val="Tahoma"/>
            <family val="2"/>
          </rPr>
          <t xml:space="preserve">References: </t>
        </r>
        <r>
          <rPr>
            <sz val="9"/>
            <color indexed="81"/>
            <rFont val="Tahoma"/>
            <family val="2"/>
          </rPr>
          <t xml:space="preserve">
[1] 
[2] </t>
        </r>
      </text>
    </comment>
    <comment ref="C18" authorId="0" shapeId="0" xr:uid="{00000000-0006-0000-0400-00000B000000}">
      <text>
        <r>
          <rPr>
            <i/>
            <u/>
            <sz val="9"/>
            <color indexed="81"/>
            <rFont val="Tahoma"/>
            <family val="2"/>
          </rPr>
          <t xml:space="preserve">References: </t>
        </r>
        <r>
          <rPr>
            <sz val="9"/>
            <color indexed="81"/>
            <rFont val="Tahoma"/>
            <family val="2"/>
          </rPr>
          <t xml:space="preserve">
[1] 
[2] </t>
        </r>
      </text>
    </comment>
    <comment ref="A19" authorId="0" shapeId="0" xr:uid="{00000000-0006-0000-0400-00000D000000}">
      <text>
        <r>
          <rPr>
            <sz val="9"/>
            <color indexed="81"/>
            <rFont val="Tahoma"/>
            <family val="2"/>
          </rPr>
          <t xml:space="preserve">Copy the table for each targetted product in case you target several endproducts. 
</t>
        </r>
        <r>
          <rPr>
            <i/>
            <sz val="9"/>
            <color indexed="81"/>
            <rFont val="Tahoma"/>
            <family val="2"/>
          </rPr>
          <t xml:space="preserve">Please hide or delete this note if clear. </t>
        </r>
      </text>
    </comment>
    <comment ref="C19" authorId="0" shapeId="0" xr:uid="{00000000-0006-0000-0400-00000E000000}">
      <text>
        <r>
          <rPr>
            <i/>
            <u/>
            <sz val="9"/>
            <color indexed="81"/>
            <rFont val="Tahoma"/>
            <family val="2"/>
          </rPr>
          <t xml:space="preserve">References: </t>
        </r>
        <r>
          <rPr>
            <sz val="9"/>
            <color indexed="81"/>
            <rFont val="Tahoma"/>
            <family val="2"/>
          </rPr>
          <t xml:space="preserve">
[1] 
[2] </t>
        </r>
      </text>
    </comment>
    <comment ref="C22" authorId="0" shapeId="0" xr:uid="{00000000-0006-0000-0400-00000F000000}">
      <text>
        <r>
          <rPr>
            <i/>
            <u/>
            <sz val="9"/>
            <color indexed="81"/>
            <rFont val="Tahoma"/>
            <family val="2"/>
          </rPr>
          <t>References:</t>
        </r>
        <r>
          <rPr>
            <sz val="9"/>
            <color indexed="81"/>
            <rFont val="Tahoma"/>
            <family val="2"/>
          </rPr>
          <t xml:space="preserve">
[1] 
[2] </t>
        </r>
      </text>
    </comment>
    <comment ref="C23" authorId="0" shapeId="0" xr:uid="{00000000-0006-0000-0400-000010000000}">
      <text>
        <r>
          <rPr>
            <i/>
            <u/>
            <sz val="9"/>
            <color indexed="81"/>
            <rFont val="Tahoma"/>
            <family val="2"/>
          </rPr>
          <t xml:space="preserve">References: </t>
        </r>
        <r>
          <rPr>
            <sz val="9"/>
            <color indexed="81"/>
            <rFont val="Tahoma"/>
            <family val="2"/>
          </rPr>
          <t xml:space="preserve">
[1] 
[2] </t>
        </r>
      </text>
    </comment>
    <comment ref="C24" authorId="0" shapeId="0" xr:uid="{00000000-0006-0000-0400-000011000000}">
      <text>
        <r>
          <rPr>
            <i/>
            <u/>
            <sz val="9"/>
            <color indexed="81"/>
            <rFont val="Tahoma"/>
            <family val="2"/>
          </rPr>
          <t xml:space="preserve">References: </t>
        </r>
        <r>
          <rPr>
            <sz val="9"/>
            <color indexed="81"/>
            <rFont val="Tahoma"/>
            <family val="2"/>
          </rPr>
          <t xml:space="preserve">
[1] 
[2] 
</t>
        </r>
      </text>
    </comment>
    <comment ref="C25" authorId="0" shapeId="0" xr:uid="{00000000-0006-0000-0400-000012000000}">
      <text>
        <r>
          <rPr>
            <i/>
            <u/>
            <sz val="9"/>
            <color indexed="81"/>
            <rFont val="Tahoma"/>
            <family val="2"/>
          </rPr>
          <t xml:space="preserve">References: </t>
        </r>
        <r>
          <rPr>
            <sz val="9"/>
            <color indexed="81"/>
            <rFont val="Tahoma"/>
            <family val="2"/>
          </rPr>
          <t xml:space="preserve">
[1] 
[2] 
</t>
        </r>
      </text>
    </comment>
    <comment ref="C26" authorId="0" shapeId="0" xr:uid="{00000000-0006-0000-0400-000013000000}">
      <text>
        <r>
          <rPr>
            <i/>
            <u/>
            <sz val="9"/>
            <color indexed="81"/>
            <rFont val="Tahoma"/>
            <family val="2"/>
          </rPr>
          <t>References:</t>
        </r>
        <r>
          <rPr>
            <sz val="9"/>
            <color indexed="81"/>
            <rFont val="Tahoma"/>
            <family val="2"/>
          </rPr>
          <t xml:space="preserve">
[1] 
[2] </t>
        </r>
      </text>
    </comment>
    <comment ref="C27" authorId="0" shapeId="0" xr:uid="{00000000-0006-0000-0400-000014000000}">
      <text>
        <r>
          <rPr>
            <i/>
            <u/>
            <sz val="9"/>
            <color indexed="81"/>
            <rFont val="Tahoma"/>
            <family val="2"/>
          </rPr>
          <t xml:space="preserve">References: </t>
        </r>
        <r>
          <rPr>
            <sz val="9"/>
            <color indexed="81"/>
            <rFont val="Tahoma"/>
            <family val="2"/>
          </rPr>
          <t xml:space="preserve">
[1] 
[2] 
</t>
        </r>
      </text>
    </comment>
    <comment ref="C28" authorId="0" shapeId="0" xr:uid="{00000000-0006-0000-0400-000015000000}">
      <text>
        <r>
          <rPr>
            <i/>
            <u/>
            <sz val="9"/>
            <color indexed="81"/>
            <rFont val="Tahoma"/>
            <family val="2"/>
          </rPr>
          <t xml:space="preserve">References: </t>
        </r>
        <r>
          <rPr>
            <sz val="9"/>
            <color indexed="81"/>
            <rFont val="Tahoma"/>
            <family val="2"/>
          </rPr>
          <t xml:space="preserve">
[1] 
[2] </t>
        </r>
      </text>
    </comment>
    <comment ref="C29" authorId="0" shapeId="0" xr:uid="{00000000-0006-0000-0400-000016000000}">
      <text>
        <r>
          <rPr>
            <i/>
            <u/>
            <sz val="9"/>
            <color indexed="81"/>
            <rFont val="Tahoma"/>
            <family val="2"/>
          </rPr>
          <t xml:space="preserve">References: </t>
        </r>
        <r>
          <rPr>
            <sz val="9"/>
            <color indexed="81"/>
            <rFont val="Tahoma"/>
            <family val="2"/>
          </rPr>
          <t xml:space="preserve">
[1] 
[2] </t>
        </r>
      </text>
    </comment>
    <comment ref="C30" authorId="0" shapeId="0" xr:uid="{00000000-0006-0000-0400-000017000000}">
      <text>
        <r>
          <rPr>
            <i/>
            <u/>
            <sz val="9"/>
            <color indexed="81"/>
            <rFont val="Tahoma"/>
            <family val="2"/>
          </rPr>
          <t xml:space="preserve">References: </t>
        </r>
        <r>
          <rPr>
            <sz val="9"/>
            <color indexed="81"/>
            <rFont val="Tahoma"/>
            <family val="2"/>
          </rPr>
          <t xml:space="preserve">
[1] 
[2] </t>
        </r>
      </text>
    </comment>
    <comment ref="C31" authorId="0" shapeId="0" xr:uid="{00000000-0006-0000-0400-000018000000}">
      <text>
        <r>
          <rPr>
            <i/>
            <u/>
            <sz val="9"/>
            <color indexed="81"/>
            <rFont val="Tahoma"/>
            <family val="2"/>
          </rPr>
          <t xml:space="preserve">References: </t>
        </r>
        <r>
          <rPr>
            <sz val="9"/>
            <color indexed="81"/>
            <rFont val="Tahoma"/>
            <family val="2"/>
          </rPr>
          <t xml:space="preserve">
[1] 
[2] </t>
        </r>
      </text>
    </comment>
    <comment ref="C32" authorId="0" shapeId="0" xr:uid="{00000000-0006-0000-0400-000019000000}">
      <text>
        <r>
          <rPr>
            <i/>
            <u/>
            <sz val="9"/>
            <color indexed="81"/>
            <rFont val="Tahoma"/>
            <family val="2"/>
          </rPr>
          <t xml:space="preserve">References: </t>
        </r>
        <r>
          <rPr>
            <sz val="9"/>
            <color indexed="81"/>
            <rFont val="Tahoma"/>
            <family val="2"/>
          </rPr>
          <t xml:space="preserve">
[1] 
[2] </t>
        </r>
      </text>
    </comment>
    <comment ref="C33" authorId="0" shapeId="0" xr:uid="{00000000-0006-0000-0400-00001B000000}">
      <text>
        <r>
          <rPr>
            <i/>
            <u/>
            <sz val="9"/>
            <color indexed="81"/>
            <rFont val="Tahoma"/>
            <family val="2"/>
          </rPr>
          <t xml:space="preserve">References: </t>
        </r>
        <r>
          <rPr>
            <sz val="9"/>
            <color indexed="81"/>
            <rFont val="Tahoma"/>
            <family val="2"/>
          </rPr>
          <t xml:space="preserve">
[1] 
[2] </t>
        </r>
      </text>
    </comment>
    <comment ref="C38" authorId="0" shapeId="0" xr:uid="{00000000-0006-0000-0400-00001C000000}">
      <text>
        <r>
          <rPr>
            <sz val="9"/>
            <color indexed="81"/>
            <rFont val="Tahoma"/>
            <family val="2"/>
          </rPr>
          <t>[https://www.ewi-vlaanderen.be/sites/default/files/downloads/bestanden/5fad5387b328e9000c00018b.pdf]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F16" authorId="0" shapeId="0" xr:uid="{00000000-0006-0000-0600-000001000000}">
      <text>
        <r>
          <rPr>
            <sz val="9"/>
            <color indexed="81"/>
            <rFont val="Tahoma"/>
            <family val="2"/>
          </rPr>
          <t>9 L/kg H2 [Sunrise, 2019; Kaiser et al, 2021]
1.3-1.5 L/Nm³ H2 [Ghaib and Ben-Fares, 2018; Götz et al, 2016; Thomas et al, 2016]</t>
        </r>
      </text>
    </comment>
    <comment ref="F20" authorId="0" shapeId="0" xr:uid="{00000000-0006-0000-0600-000002000000}">
      <text>
        <r>
          <rPr>
            <sz val="9"/>
            <color indexed="81"/>
            <rFont val="Tahoma"/>
            <family val="2"/>
          </rPr>
          <t>4.5-7.5 in future 4.1-4.8 kWh/m³ H2 [Smolinka et al, 2011]
5.2-7.1 kWh/m³ H2 [Müller-Syring et al, 2013]
4.9-5.2 kWh/m³ H2 [Zakeri et al, 2015]
50-75 kWh/kg H2 [Metabolic, 2017]</t>
        </r>
      </text>
    </comment>
    <comment ref="F21" authorId="0" shapeId="0" xr:uid="{00000000-0006-0000-0600-000003000000}">
      <text>
        <r>
          <rPr>
            <sz val="9"/>
            <color indexed="81"/>
            <rFont val="Tahoma"/>
            <family val="2"/>
          </rPr>
          <t>65% in 2010, 80% in 2017 and expected to be 86% by 2050 [Ad van Wijk et al, 2017]
68% overall plant efficiency [Hyoffwind, 2019]
58-69% (LHV) in 2025 and 62-71% in 2050 [Grahn et al, 2022]</t>
        </r>
      </text>
    </comment>
    <comment ref="F22" authorId="0" shapeId="0" xr:uid="{00000000-0006-0000-0600-000004000000}">
      <text>
        <r>
          <rPr>
            <sz val="9"/>
            <color indexed="81"/>
            <rFont val="Tahoma"/>
            <family val="2"/>
          </rPr>
          <t>80°C [Global CO2 initiative - worked methanol example, 2018]
50-80°C [Parra et al, 2017]
&lt;100°C [Ghaib and Ben-Fares, 2018]</t>
        </r>
      </text>
    </comment>
    <comment ref="F23" authorId="0" shapeId="0" xr:uid="{00000000-0006-0000-0600-000005000000}">
      <text>
        <r>
          <rPr>
            <sz val="9"/>
            <color indexed="81"/>
            <rFont val="Tahoma"/>
            <family val="2"/>
          </rPr>
          <t>35 bar [Global CO2 initiative - worked methanol example, 2018]
atm to 20-30 bar [Sunrise, 2019]</t>
        </r>
      </text>
    </comment>
    <comment ref="F25" authorId="0" shapeId="0" xr:uid="{00000000-0006-0000-0600-000006000000}">
      <text>
        <r>
          <rPr>
            <sz val="9"/>
            <color indexed="81"/>
            <rFont val="Tahoma"/>
            <family val="2"/>
          </rPr>
          <t>300 Nm³/hr or 1.5 MW, 1000 Nm³/hr or 5 MW and 5000 Nm³/hr or 25 MW [Folder Hydrogenics, 2019]</t>
        </r>
      </text>
    </comment>
    <comment ref="F31" authorId="0" shapeId="0" xr:uid="{00000000-0006-0000-0600-000007000000}">
      <text>
        <r>
          <rPr>
            <sz val="9"/>
            <color indexed="81"/>
            <rFont val="Tahoma"/>
            <family val="2"/>
          </rPr>
          <t>1.5-2 l/Nm³ H2 [Hydrogenics, 2016]</t>
        </r>
      </text>
    </comment>
    <comment ref="F32" authorId="0" shapeId="0" xr:uid="{00000000-0006-0000-0600-000008000000}">
      <text>
        <r>
          <rPr>
            <sz val="9"/>
            <color indexed="81"/>
            <rFont val="Tahoma"/>
            <family val="2"/>
          </rPr>
          <t xml:space="preserve">20-30% KOH [Smolinka et al, 2011]
25% [Martin and Grossmann, 2016]
</t>
        </r>
      </text>
    </comment>
    <comment ref="F35" authorId="0" shapeId="0" xr:uid="{00000000-0006-0000-0600-000009000000}">
      <text>
        <r>
          <rPr>
            <sz val="9"/>
            <color indexed="81"/>
            <rFont val="Tahoma"/>
            <family val="2"/>
          </rPr>
          <t xml:space="preserve">Recirculation system </t>
        </r>
      </text>
    </comment>
    <comment ref="F36" authorId="0" shapeId="0" xr:uid="{00000000-0006-0000-0600-00000A000000}">
      <text>
        <r>
          <rPr>
            <sz val="9"/>
            <color indexed="81"/>
            <rFont val="Tahoma"/>
            <family val="2"/>
          </rPr>
          <t>55.56 kWh/kg H2 overall electrical consumption [Atsonios et al, 2016]
4.34 kWh/Nm³ H2 specific power consumption [Mansilla et al, 2011]
4.49 kWh/m³ H2 [Amirante et al, 2017]
4.5-7 in future 4.3-5.7 kWh/m³ H2 [Smolinka et al, 2011]
4.7-5.4 kWh/m³ H2 [Müller-Syring et al, 2013]
5.4-8.2 kWh/m³ H2 [Zakeri et al, 2015]</t>
        </r>
      </text>
    </comment>
    <comment ref="F37" authorId="0" shapeId="0" xr:uid="{00000000-0006-0000-0600-00000B000000}">
      <text>
        <r>
          <rPr>
            <sz val="9"/>
            <color indexed="81"/>
            <rFont val="Tahoma"/>
            <family val="2"/>
          </rPr>
          <t>75% [Gorre et al, 2020]
63-71% (LHV) in 2025 and 66-70% in 2050 [Grahn et al, 2022]
60% efficiency [Bushuyev, 2018]</t>
        </r>
      </text>
    </comment>
    <comment ref="F38" authorId="0" shapeId="0" xr:uid="{00000000-0006-0000-0600-00000C000000}">
      <text>
        <r>
          <rPr>
            <sz val="9"/>
            <color indexed="81"/>
            <rFont val="Tahoma"/>
            <family val="2"/>
          </rPr>
          <t>40-90°C [Bolat and Thiel, 2014]
40-90°C [Carmo et al, 2013]
80°C [Martin and Grossmann, 2016]
80°C [Atsonios et al, 2016]</t>
        </r>
      </text>
    </comment>
    <comment ref="F39" authorId="0" shapeId="0" xr:uid="{00000000-0006-0000-0600-00000D000000}">
      <text>
        <r>
          <rPr>
            <sz val="9"/>
            <color indexed="81"/>
            <rFont val="Tahoma"/>
            <family val="2"/>
          </rPr>
          <t>10-27 bar [Folder Hydrogenics, 2019]
0-15 bar [FCH report, 2017]
30 bar [Gorre et al, 2020]</t>
        </r>
      </text>
    </comment>
    <comment ref="F41" authorId="0" shapeId="0" xr:uid="{00000000-0006-0000-0600-00000E000000}">
      <text>
        <r>
          <rPr>
            <sz val="9"/>
            <color indexed="81"/>
            <rFont val="Tahoma"/>
            <family val="2"/>
          </rPr>
          <t>1 stack 80 kW, 4 stacks 300 kW and 6 stacks 500 kW [Folder Hydrogenics, 2019]</t>
        </r>
      </text>
    </comment>
    <comment ref="F50" authorId="0" shapeId="0" xr:uid="{00000000-0006-0000-0600-00000F000000}">
      <text>
        <r>
          <rPr>
            <sz val="9"/>
            <color indexed="81"/>
            <rFont val="Tahoma"/>
            <family val="2"/>
          </rPr>
          <t>1.9 kWh/kg H2 to 500 bar [Ad van Wijk et al, 2017]
2-4 kWh/kg depending on the storage pressure or 6-12% of the energy content of the stored H2 [Gardiner, 2013]
10-15% of hydrogen enregy content for storage and compression, up to 30% for very high pressures [IEA, 2017]
2-4 kWh/kg H2 up to 350 bar and 2.7 kWh for 700 bar, 8.3 kWh/kg for diaphragm compressor with suction pressure of 13 bar filling a cascade system to a maximum pressure of 430 bar [NREL, 2014]</t>
        </r>
      </text>
    </comment>
    <comment ref="F63" authorId="0" shapeId="0" xr:uid="{00000000-0006-0000-0600-000010000000}">
      <text>
        <r>
          <rPr>
            <sz val="9"/>
            <color indexed="81"/>
            <rFont val="Tahoma"/>
            <family val="2"/>
          </rPr>
          <t>Up to 300 kg tube trailer [IEA report, 2014]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F10" authorId="0" shapeId="0" xr:uid="{00000000-0006-0000-0700-000001000000}">
      <text>
        <r>
          <rPr>
            <sz val="9"/>
            <color indexed="81"/>
            <rFont val="Tahoma"/>
            <family val="2"/>
          </rPr>
          <t xml:space="preserve">Typical discount rates are: 
(i) 10% for cost improvement of conventional technologies, 
(ii) 15% for the expansion of conventional technologies, 
(iii) 20% for product development, and 
(iv) 30% for speculative venture. 
[Mercken, R., De investeringsbeslissing. Een beleidsgerichte analyse. 2004, Antwerpen: Garant]
For MOT a value of 25% is chosen. </t>
        </r>
      </text>
    </comment>
    <comment ref="F12" authorId="0" shapeId="0" xr:uid="{00000000-0006-0000-0700-000002000000}">
      <text>
        <r>
          <rPr>
            <sz val="9"/>
            <color indexed="81"/>
            <rFont val="Tahoma"/>
            <family val="2"/>
          </rPr>
          <t xml:space="preserve">Typically 20/80 or 30/70. For MOT projects 20/80 is chosen. </t>
        </r>
      </text>
    </comment>
    <comment ref="F17" authorId="0" shapeId="0" xr:uid="{00000000-0006-0000-0700-000003000000}">
      <text>
        <r>
          <rPr>
            <sz val="9"/>
            <color indexed="81"/>
            <rFont val="Tahoma"/>
            <family val="2"/>
          </rPr>
          <t>25% for Belgium [https://stats.oecd.org/Index.aspx?DataSetCode=CTS_CIT]</t>
        </r>
      </text>
    </comment>
    <comment ref="F20" authorId="0" shapeId="0" xr:uid="{00000000-0006-0000-0700-000004000000}">
      <text>
        <r>
          <rPr>
            <sz val="9"/>
            <color indexed="81"/>
            <rFont val="Tahoma"/>
            <family val="2"/>
          </rPr>
          <t>4 [Peters, Timmerhaus et al, 2003]</t>
        </r>
      </text>
    </comment>
    <comment ref="F21" authorId="0" shapeId="0" xr:uid="{00000000-0006-0000-0700-000005000000}">
      <text>
        <r>
          <rPr>
            <sz val="9"/>
            <color indexed="81"/>
            <rFont val="Tahoma"/>
            <family val="2"/>
          </rPr>
          <t>4.3 [Peters, Timmerhaus et al, 2003]</t>
        </r>
      </text>
    </comment>
    <comment ref="F22" authorId="0" shapeId="0" xr:uid="{00000000-0006-0000-0700-000006000000}">
      <text>
        <r>
          <rPr>
            <sz val="9"/>
            <color indexed="81"/>
            <rFont val="Tahoma"/>
            <family val="2"/>
          </rPr>
          <t>5 [Peters, Timmerhaus et al, 2003]</t>
        </r>
      </text>
    </comment>
    <comment ref="C24" authorId="0" shapeId="0" xr:uid="{00000000-0006-0000-0700-000007000000}">
      <text>
        <r>
          <rPr>
            <sz val="9"/>
            <color indexed="81"/>
            <rFont val="Tahoma"/>
            <family val="2"/>
          </rPr>
          <t>direct equipment = purchased equipment delivered</t>
        </r>
      </text>
    </comment>
    <comment ref="F24" authorId="0" shapeId="0" xr:uid="{00000000-0006-0000-0700-000008000000}">
      <text>
        <r>
          <rPr>
            <sz val="9"/>
            <color indexed="81"/>
            <rFont val="Tahoma"/>
            <family val="2"/>
          </rPr>
          <t>45 for solid processing plant
39 for solid-fluid processing plant
47 for fluid processing plant 
[Peters, Timmerhaus et al, 2003]</t>
        </r>
      </text>
    </comment>
    <comment ref="F25" authorId="0" shapeId="0" xr:uid="{00000000-0006-0000-0700-000009000000}">
      <text>
        <r>
          <rPr>
            <sz val="9"/>
            <color indexed="81"/>
            <rFont val="Tahoma"/>
            <family val="2"/>
          </rPr>
          <t>18 for solid processing plant
26 for solid-fluid processing plant
36 for fluid processing plant 
[Peters, Timmerhaus et al, 2003]</t>
        </r>
      </text>
    </comment>
    <comment ref="F26" authorId="0" shapeId="0" xr:uid="{00000000-0006-0000-0700-00000A000000}">
      <text>
        <r>
          <rPr>
            <sz val="9"/>
            <color indexed="81"/>
            <rFont val="Tahoma"/>
            <family val="2"/>
          </rPr>
          <t>16 for solid processing plant
31 for solid-fluid processing plant
68 for fluid processing plant 
[Peters, Timmerhaus et al, 2003]</t>
        </r>
      </text>
    </comment>
    <comment ref="F27" authorId="0" shapeId="0" xr:uid="{00000000-0006-0000-0700-00000B000000}">
      <text>
        <r>
          <rPr>
            <sz val="9"/>
            <color indexed="81"/>
            <rFont val="Tahoma"/>
            <family val="2"/>
          </rPr>
          <t>10 for solid processing plant
10 for solid-fluid processing plant
11 for fluid processing plant 
[Peters, Timmerhaus et al, 2003]</t>
        </r>
      </text>
    </comment>
    <comment ref="F28" authorId="0" shapeId="0" xr:uid="{00000000-0006-0000-0700-00000C000000}">
      <text>
        <r>
          <rPr>
            <sz val="9"/>
            <color indexed="81"/>
            <rFont val="Tahoma"/>
            <family val="2"/>
          </rPr>
          <t>25 for solid processing plant
29 for solid-fluid processing plant
18 for fluid processing plant 
[Peters, Timmerhaus et al, 2003]</t>
        </r>
      </text>
    </comment>
    <comment ref="F29" authorId="0" shapeId="0" xr:uid="{00000000-0006-0000-0700-00000D000000}">
      <text>
        <r>
          <rPr>
            <sz val="9"/>
            <color indexed="81"/>
            <rFont val="Tahoma"/>
            <family val="2"/>
          </rPr>
          <t>15 for solid processing plant
12 for solid-fluid processing plant
10 for fluid processing plant 
[Peters, Timmerhaus et al, 2003]</t>
        </r>
      </text>
    </comment>
    <comment ref="F30" authorId="0" shapeId="0" xr:uid="{00000000-0006-0000-0700-00000E000000}">
      <text>
        <r>
          <rPr>
            <sz val="9"/>
            <color indexed="81"/>
            <rFont val="Tahoma"/>
            <family val="2"/>
          </rPr>
          <t>40 for solid processing plant
55 for solid-fluid processing plant
70 for fluid processing plant 
[Peters, Timmerhaus et al, 2003]</t>
        </r>
      </text>
    </comment>
    <comment ref="F31" authorId="0" shapeId="0" xr:uid="{00000000-0006-0000-0700-00000F000000}">
      <text>
        <r>
          <rPr>
            <sz val="9"/>
            <color indexed="81"/>
            <rFont val="Tahoma"/>
            <family val="2"/>
          </rPr>
          <t>33 for solid processing plant
32 for solid-fluid processing plant
33 for fluid processing plant 
[Peters, Timmerhaus et al, 2003]</t>
        </r>
      </text>
    </comment>
    <comment ref="F32" authorId="0" shapeId="0" xr:uid="{00000000-0006-0000-0700-000010000000}">
      <text>
        <r>
          <rPr>
            <sz val="9"/>
            <color indexed="81"/>
            <rFont val="Tahoma"/>
            <family val="2"/>
          </rPr>
          <t>39 for solid processing plant
34 for solid-fluid processing plant
41 for fluid processing plant 
[Peters, Timmerhaus et al, 2003]</t>
        </r>
      </text>
    </comment>
    <comment ref="F33" authorId="0" shapeId="0" xr:uid="{00000000-0006-0000-0700-000011000000}">
      <text>
        <r>
          <rPr>
            <sz val="9"/>
            <color indexed="81"/>
            <rFont val="Tahoma"/>
            <family val="2"/>
          </rPr>
          <t>4 for solid processing plant
4 for solid-fluid processing plant
4 for fluid processing plant 
[Peters, Timmerhaus et al, 2003]</t>
        </r>
      </text>
    </comment>
    <comment ref="F34" authorId="0" shapeId="0" xr:uid="{00000000-0006-0000-0700-000012000000}">
      <text>
        <r>
          <rPr>
            <sz val="9"/>
            <color indexed="81"/>
            <rFont val="Tahoma"/>
            <family val="2"/>
          </rPr>
          <t>17 for solid processing plant
19 for solid-fluid processing plant
22 for fluid processing plant 
[Peters, Timmerhaus et al, 2003]</t>
        </r>
      </text>
    </comment>
    <comment ref="F35" authorId="0" shapeId="0" xr:uid="{00000000-0006-0000-0700-000013000000}">
      <text>
        <r>
          <rPr>
            <sz val="9"/>
            <color indexed="81"/>
            <rFont val="Tahoma"/>
            <family val="2"/>
          </rPr>
          <t>35 for solid processing plant
37 for solid-fluid processing plant
44 for fluid processing plant 
[Peters, Timmerhaus et al, 2003]</t>
        </r>
      </text>
    </comment>
    <comment ref="F36" authorId="0" shapeId="0" xr:uid="{00000000-0006-0000-0700-000014000000}">
      <text>
        <r>
          <rPr>
            <sz val="9"/>
            <color indexed="81"/>
            <rFont val="Tahoma"/>
            <family val="2"/>
          </rPr>
          <t>70 for solid processing plant
75 for solid-fluid processing plant
89 for fluid processing plant 
[Peters, Timmerhaus et al, 2003]</t>
        </r>
      </text>
    </comment>
    <comment ref="F40" authorId="0" shapeId="0" xr:uid="{00000000-0006-0000-0700-000015000000}">
      <text>
        <r>
          <rPr>
            <sz val="9"/>
            <color indexed="81"/>
            <rFont val="Tahoma"/>
            <family val="2"/>
          </rPr>
          <t>Belgium 2020: 41.6 €/hr [http://appsso.eurostat.ec.europa.eu/nui/show.do?dataset=lc_lci_lev&amp;lang=en]</t>
        </r>
      </text>
    </comment>
    <comment ref="F47" authorId="0" shapeId="0" xr:uid="{00000000-0006-0000-0700-000016000000}">
      <text>
        <r>
          <rPr>
            <sz val="9"/>
            <color indexed="81"/>
            <rFont val="Tahoma"/>
            <family val="2"/>
          </rPr>
          <t xml:space="preserve">Electricity prices for non-household consumers - 2021-S2: 
&lt;20 MWh: 0.2954 €/kWh
20-500 MWh: 0.2159 €/kWh
500 MWh-2000 MWh: 0.1732 €/kWh
2000-20,000 MWh: 0.1398 €/kWh
20,000-70,000 MWh: 0.1396 €/kWh
70,000-150,000 MWh: 0.1212 €/kWh
&gt;150,000 MWh: 0.1374 €/kWh
[Eurostat, NRG_PC_205]
</t>
        </r>
      </text>
    </comment>
    <comment ref="F48" authorId="0" shapeId="0" xr:uid="{00000000-0006-0000-0700-000017000000}">
      <text>
        <r>
          <rPr>
            <sz val="9"/>
            <color indexed="81"/>
            <rFont val="Tahoma"/>
            <family val="2"/>
          </rPr>
          <t>12% in 2020 [IEA, 2022]</t>
        </r>
      </text>
    </comment>
    <comment ref="F53" authorId="0" shapeId="0" xr:uid="{00000000-0006-0000-0700-000018000000}">
      <text>
        <r>
          <rPr>
            <sz val="9"/>
            <color indexed="81"/>
            <rFont val="Tahoma"/>
            <family val="2"/>
          </rPr>
          <t>Gas prices for non-household consumers - 2021-S2: 
&lt;1000 GJ: 0.0637 €/kWh
1000 GJ - 10,000 GJ: 0.0524 €/kWh
10,000 GJ - 100,000 GJ: 0.0410 €/kWh
100,000 GJ - 1,000,000 GJ: 0.0419 €/kWh
1,000,000 GJ - 4,000,000 GJ: 0.0569 €/kWh
&gt; 4,000,000 GJ: 0.0738 €/kWh
[Eurostat, NRG_PC_203]</t>
        </r>
      </text>
    </comment>
    <comment ref="F54" authorId="0" shapeId="0" xr:uid="{00000000-0006-0000-0700-000019000000}">
      <text>
        <r>
          <rPr>
            <sz val="9"/>
            <color indexed="81"/>
            <rFont val="Tahoma"/>
            <family val="2"/>
          </rPr>
          <t>Depending on the pressure. 
20-25 for medium pressure [Aspen, 2021]
25-30 for high pressure [Aspen, 2021]</t>
        </r>
      </text>
    </comment>
    <comment ref="F74" authorId="0" shapeId="0" xr:uid="{00000000-0006-0000-0700-00001A000000}">
      <text>
        <r>
          <rPr>
            <sz val="9"/>
            <color indexed="81"/>
            <rFont val="Tahoma"/>
            <family val="2"/>
          </rPr>
          <t>2.5-6 $/kg from renewables [IEA, 2019]</t>
        </r>
      </text>
    </comment>
    <comment ref="F76" authorId="0" shapeId="0" xr:uid="{00000000-0006-0000-0700-00001B000000}">
      <text>
        <r>
          <rPr>
            <sz val="9"/>
            <color indexed="81"/>
            <rFont val="Tahoma"/>
            <family val="2"/>
          </rPr>
          <t>24.5 €/ton or 0.035 €/m³ [P2G Roadmap study, 2015]
10-70 €/ton [Vandewalle et al, 2015]
21 €/ton [Martin and Grossmann, 2016]
87.4 €/ton [Frank et al, 2006;Atsonios et al, 2016]
54.2 €/ton [Pérez-Fortes, 2016]
70 €/ton [Fambri et al, 2022]
23.7-87 €/ton [Grahn et al, 2022]</t>
        </r>
      </text>
    </comment>
    <comment ref="F90" authorId="0" shapeId="0" xr:uid="{00000000-0006-0000-0700-00001C000000}">
      <text>
        <r>
          <rPr>
            <sz val="9"/>
            <color indexed="81"/>
            <rFont val="Tahoma"/>
            <family val="2"/>
          </rPr>
          <t>1500 €/kW [Global CO2 initiative - worked methanol example, 2018]
1200 €/kW installation cost of which 420 €/kW relates to the electrolyser stack --&gt; ranges of €250-1250/kW are reported for 2030 [Baldi et al, 2022]
900 €/kWe, including BOP, excl. compression [Hancke et al, 2022]
500-2400 €/kWe in 2025 and 400-950 €/kWe in 2050 [Grahn et al, 2022]</t>
        </r>
      </text>
    </comment>
    <comment ref="F91" authorId="0" shapeId="0" xr:uid="{00000000-0006-0000-0700-00001D000000}">
      <text>
        <r>
          <rPr>
            <sz val="9"/>
            <color indexed="81"/>
            <rFont val="Tahoma"/>
            <family val="2"/>
          </rPr>
          <t>€420/kW out of €1200/kW is related to the stack (i.e. 35%)  [Baldi et al, 2022]
35% CAPEX [Hancke et al, 2022]</t>
        </r>
      </text>
    </comment>
    <comment ref="F92" authorId="0" shapeId="0" xr:uid="{00000000-0006-0000-0700-00001E000000}">
      <text>
        <r>
          <rPr>
            <sz val="9"/>
            <color indexed="81"/>
            <rFont val="Tahoma"/>
            <family val="2"/>
          </rPr>
          <t>20 yr  [Baldi et al, 2022]</t>
        </r>
      </text>
    </comment>
    <comment ref="F93" authorId="0" shapeId="0" xr:uid="{00000000-0006-0000-0700-00001F000000}">
      <text>
        <r>
          <rPr>
            <sz val="9"/>
            <color indexed="81"/>
            <rFont val="Tahoma"/>
            <family val="2"/>
          </rPr>
          <t>80,000 hr [Global CO2 initiative - worked methanol example, 2018]
45,000 hr [Sunrise, 2019]
60,000 hr in 2020 and increasing to 90,000 hr by 2030  [Kaiser et al, 2021]
40,000 hr and potential increase to 80,000 hr [Baldi et al, 2022]</t>
        </r>
      </text>
    </comment>
    <comment ref="F95" authorId="0" shapeId="0" xr:uid="{00000000-0006-0000-0700-000020000000}">
      <text>
        <r>
          <rPr>
            <sz val="9"/>
            <color indexed="81"/>
            <rFont val="Tahoma"/>
            <family val="2"/>
          </rPr>
          <t>3% of CAPEX [Keipi et al, 2018]
1% of CAPEX  [Kaiser et al, 2021]
2-11% incl. stack replacement in 2025 and 2-5% in 2050 [Grahn et al, 2022]</t>
        </r>
      </text>
    </comment>
    <comment ref="F97" authorId="0" shapeId="0" xr:uid="{00000000-0006-0000-0700-000021000000}">
      <text>
        <r>
          <rPr>
            <sz val="9"/>
            <color indexed="81"/>
            <rFont val="Tahoma"/>
            <family val="2"/>
          </rPr>
          <t>450 for 2030; 330 for 2040 and 250 for 2050 €/kW [Hampp, Düren et al, 2021]
300-700 $/kWe [IEA, 2019]
400-1300 €/kWe in 2025 and 380-560 in 2050 [Grahn et al, 2022]
1180 €/kWe for 1 MWe in 2017; 665 in 2030 and 350 in 2050; 470 for 10 MWe in 2030 and 245 in 2050; 415 for 50 MWe in 2030 and 220 in 2050 [Gorre et al, 2019]</t>
        </r>
      </text>
    </comment>
    <comment ref="F99" authorId="0" shapeId="0" xr:uid="{00000000-0006-0000-0700-000022000000}">
      <text>
        <r>
          <rPr>
            <sz val="9"/>
            <color indexed="81"/>
            <rFont val="Tahoma"/>
            <family val="2"/>
          </rPr>
          <t>20-50 yr [Gorre et al, 2020]
30-35 yr [Hampp, Düren et al, 202</t>
        </r>
      </text>
    </comment>
    <comment ref="F100" authorId="0" shapeId="0" xr:uid="{00000000-0006-0000-0700-000023000000}">
      <text>
        <r>
          <rPr>
            <sz val="9"/>
            <color indexed="81"/>
            <rFont val="Tahoma"/>
            <family val="2"/>
          </rPr>
          <t>55,000-90,000 OH or 10 yr [Gorre et al, 2020]
10 yr [IEA, 2019]</t>
        </r>
      </text>
    </comment>
    <comment ref="F102" authorId="0" shapeId="0" xr:uid="{00000000-0006-0000-0700-000024000000}">
      <text>
        <r>
          <rPr>
            <sz val="9"/>
            <color indexed="81"/>
            <rFont val="Tahoma"/>
            <family val="2"/>
          </rPr>
          <t>2.75% of CAPEX [Gorre et al, 2020]
2% CAPEX [Hampp, Düren et al, 2021]</t>
        </r>
      </text>
    </comment>
    <comment ref="F106" authorId="0" shapeId="0" xr:uid="{00000000-0006-0000-0700-000025000000}">
      <text>
        <r>
          <rPr>
            <sz val="9"/>
            <color indexed="81"/>
            <rFont val="Tahoma"/>
            <family val="2"/>
          </rPr>
          <t>11,000 €/kg H2/hr for compression to 350 bar or 230 €/kW electrolysis input power [Baldi et al, 2022; Ikäheimo et al, 2018]
3800 €/kW [Hancke et al, 2022]
2440 €/kW [Terlouw et al, 2022]
Compression cost 0.9-1.75 €/kg [IEA, 2017]</t>
        </r>
      </text>
    </comment>
    <comment ref="F107" authorId="0" shapeId="0" xr:uid="{00000000-0006-0000-0700-000026000000}">
      <text>
        <r>
          <rPr>
            <sz val="9"/>
            <color indexed="81"/>
            <rFont val="Tahoma"/>
            <family val="2"/>
          </rPr>
          <t>10 yr, full compressor overhauling after 5000 hr of operation. Service costs are assumed to be 20% of compressor CAPEX [Hancke et al, 2022]
10 yr [Terlouw et al, 2022]</t>
        </r>
      </text>
    </comment>
    <comment ref="F108" authorId="0" shapeId="0" xr:uid="{00000000-0006-0000-0700-000027000000}">
      <text>
        <r>
          <rPr>
            <sz val="9"/>
            <color indexed="81"/>
            <rFont val="Tahoma"/>
            <family val="2"/>
          </rPr>
          <t>3% of CAPEX [Jepma et al, 2018]
4% CAPEX [Terlouw et al, 2022]</t>
        </r>
      </text>
    </comment>
    <comment ref="F110" authorId="0" shapeId="0" xr:uid="{00000000-0006-0000-0700-000028000000}">
      <text>
        <r>
          <rPr>
            <sz val="9"/>
            <color indexed="81"/>
            <rFont val="Tahoma"/>
            <family val="2"/>
          </rPr>
          <t>400-2500 €/kg can be found in literature. in this study 500€/kg used for relatively low-pressure storage to avoid excessive compression losses [Baldi et al, 2022; Ikäheimo et al, 2018]
200-460 €/kg H2 with 200 the cost in 2040 [Terlouw et al, 2022]</t>
        </r>
      </text>
    </comment>
    <comment ref="F111" authorId="0" shapeId="0" xr:uid="{00000000-0006-0000-0700-000029000000}">
      <text>
        <r>
          <rPr>
            <sz val="9"/>
            <color indexed="81"/>
            <rFont val="Tahoma"/>
            <family val="2"/>
          </rPr>
          <t>20 yr [Gorre et al, 2020]
30-40 year for steel stationary vessels, but maintenance and inspection every 10 to 15 years [FCH report, 2017]
20-25 yr [Terlouw et al, 2022]</t>
        </r>
      </text>
    </comment>
    <comment ref="F112" authorId="0" shapeId="0" xr:uid="{00000000-0006-0000-0700-00002A000000}">
      <text>
        <r>
          <rPr>
            <sz val="9"/>
            <color indexed="81"/>
            <rFont val="Tahoma"/>
            <family val="2"/>
          </rPr>
          <t>1% of CAPEX [Gorre et al, 2020]
2% CAPEX for stationary systems and 4% for mobile systems [FCH report, 2017]
1% CAPEX [Terlouw et al, 2022]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Van Dael Miet</author>
    <author>Giovanna Sauve</author>
  </authors>
  <commentList>
    <comment ref="F10" authorId="0" shapeId="0" xr:uid="{00000000-0006-0000-0800-000001000000}">
      <text>
        <r>
          <rPr>
            <sz val="9"/>
            <color indexed="81"/>
            <rFont val="Tahoma"/>
            <family val="2"/>
          </rPr>
          <t>1 kg CO2eq/kg substance if fossil-origin - AR5 (2014) [Kyoto Protocol]</t>
        </r>
      </text>
    </comment>
    <comment ref="F11" authorId="0" shapeId="0" xr:uid="{00000000-0006-0000-0800-000002000000}">
      <text>
        <r>
          <rPr>
            <sz val="9"/>
            <color indexed="81"/>
            <rFont val="Tahoma"/>
            <family val="2"/>
          </rPr>
          <t>0 kg CO2eq/kg substance if biogenic origin - AR5 (2014) [Kyoto Protocol]</t>
        </r>
      </text>
    </comment>
    <comment ref="F12" authorId="0" shapeId="0" xr:uid="{00000000-0006-0000-0800-000003000000}">
      <text>
        <r>
          <rPr>
            <sz val="9"/>
            <color indexed="81"/>
            <rFont val="Tahoma"/>
            <family val="2"/>
          </rPr>
          <t>28 kg CO2eq/kg substance - AR5 (2014) [Kyoto Protocol]</t>
        </r>
      </text>
    </comment>
    <comment ref="F13" authorId="0" shapeId="0" xr:uid="{00000000-0006-0000-0800-000004000000}">
      <text>
        <r>
          <rPr>
            <sz val="9"/>
            <color indexed="81"/>
            <rFont val="Tahoma"/>
            <family val="2"/>
          </rPr>
          <t>265 kg CO2eq/kg substance - AR5 (2014) [Kyoto Protocol]</t>
        </r>
      </text>
    </comment>
    <comment ref="F14" authorId="0" shapeId="0" xr:uid="{00000000-0006-0000-0800-000005000000}">
      <text>
        <r>
          <rPr>
            <sz val="9"/>
            <color indexed="81"/>
            <rFont val="Tahoma"/>
            <family val="2"/>
          </rPr>
          <t>782 kg CO2eq/kg substance - AR5 (2014) [Kyoto Protocol]</t>
        </r>
      </text>
    </comment>
    <comment ref="F15" authorId="0" shapeId="0" xr:uid="{00000000-0006-0000-0800-000006000000}">
      <text>
        <r>
          <rPr>
            <sz val="9"/>
            <color indexed="81"/>
            <rFont val="Tahoma"/>
            <family val="2"/>
          </rPr>
          <t>1300 kg CO2eq/kg substance - AR5 (2014) [Kyoto Protocol]</t>
        </r>
      </text>
    </comment>
    <comment ref="F16" authorId="0" shapeId="0" xr:uid="{00000000-0006-0000-0800-000007000000}">
      <text>
        <r>
          <rPr>
            <sz val="9"/>
            <color indexed="81"/>
            <rFont val="Tahoma"/>
            <family val="2"/>
          </rPr>
          <t>1760 kg CO2eq/kg substance - AR5 (2014) [Kyoto Protocol]</t>
        </r>
      </text>
    </comment>
    <comment ref="F17" authorId="0" shapeId="0" xr:uid="{00000000-0006-0000-0800-000008000000}">
      <text>
        <r>
          <rPr>
            <sz val="9"/>
            <color indexed="81"/>
            <rFont val="Tahoma"/>
            <family val="2"/>
          </rPr>
          <t>1980 kg CO2eq/kg substance - AR5 (2014) [Kyoto Protocol]</t>
        </r>
      </text>
    </comment>
    <comment ref="F18" authorId="0" shapeId="0" xr:uid="{00000000-0006-0000-0800-000009000000}">
      <text>
        <r>
          <rPr>
            <sz val="9"/>
            <color indexed="81"/>
            <rFont val="Tahoma"/>
            <family val="2"/>
          </rPr>
          <t>4660 kg CO2eq/kg substance - AR5 (2014) [Kyoto Protocol]</t>
        </r>
      </text>
    </comment>
    <comment ref="F19" authorId="0" shapeId="0" xr:uid="{00000000-0006-0000-0800-00000A000000}">
      <text>
        <r>
          <rPr>
            <sz val="9"/>
            <color indexed="81"/>
            <rFont val="Tahoma"/>
            <family val="2"/>
          </rPr>
          <t>10200 kg CO2eq/kg substance - AR5 (2014) [Kyoto Protocol]</t>
        </r>
      </text>
    </comment>
    <comment ref="F20" authorId="0" shapeId="0" xr:uid="{00000000-0006-0000-0800-00000B000000}">
      <text>
        <r>
          <rPr>
            <sz val="9"/>
            <color indexed="81"/>
            <rFont val="Tahoma"/>
            <family val="2"/>
          </rPr>
          <t>23500 kg CO2eq/kg substance - AR5 (2014) [Kyoto Protocol]</t>
        </r>
      </text>
    </comment>
    <comment ref="F24" authorId="0" shapeId="0" xr:uid="{02902E6E-D4F5-4564-9186-9255E82F4D82}">
      <text>
        <r>
          <rPr>
            <sz val="11"/>
            <color theme="1"/>
            <rFont val="Calibri"/>
            <family val="2"/>
            <scheme val="minor"/>
          </rPr>
          <t>0.184 [Messagie et al (2014)]  average
0.14 kg CO2eq/kWh [Statista: carbon intensity of power sector, 2021] - does not include upstream emissions 
0.173 kg CO2eq/kWh [https://app.electricitymaps.com/zone/BE, 2022-2023] --&gt; I found 0.148 
0.154 kg CO2eq/kWh [EEA, 2021] - does not include upstream emissons (plants, decommissioning)
(Belgium)</t>
        </r>
      </text>
    </comment>
    <comment ref="F26" authorId="0" shapeId="0" xr:uid="{F6BB9FAF-B140-450C-BD31-ADC1D05695FB}">
      <text>
        <r>
          <rPr>
            <sz val="11"/>
            <color theme="1"/>
            <rFont val="Calibri"/>
            <family val="2"/>
            <scheme val="minor"/>
          </rPr>
          <t>0.03 kg CO2eq/kWh [Nowtricity, 2022]
0.024 kg CO2eq/kWh [Electricitymaps, Norway]</t>
        </r>
      </text>
    </comment>
    <comment ref="F27" authorId="0" shapeId="0" xr:uid="{40126D2F-C5E9-4E6A-95E0-FD9D8300ADEE}">
      <text>
        <r>
          <rPr>
            <sz val="11"/>
            <color theme="1"/>
            <rFont val="Calibri"/>
            <family val="2"/>
            <scheme val="minor"/>
          </rPr>
          <t>733.64436 kg CO2eq/tonne [UK Government GHG Conversion Factors for Company Reporting: https://www.gov.uk/government/publications/greenhouse-gas-reporting-conversion-factors-2023</t>
        </r>
      </text>
    </comment>
    <comment ref="F28" authorId="1" shapeId="0" xr:uid="{79E0DDF8-4D4A-4AB3-9291-F871699C95BD}">
      <text>
        <r>
          <rPr>
            <sz val="11"/>
            <color theme="1"/>
            <rFont val="Calibri"/>
            <family val="2"/>
            <scheme val="minor"/>
          </rPr>
          <t>3015.65 kg CO2 eq./tonnes [UK Government GHG Conversion Factors for Company Reporting: https://www.gov.uk/government/publications/greenhouse-gas-reporting-conversion-factors-2023</t>
        </r>
      </text>
    </comment>
    <comment ref="F29" authorId="1" shapeId="0" xr:uid="{380CB1D8-05E6-457D-A80C-4E5B888CE300}">
      <text>
        <r>
          <rPr>
            <sz val="11"/>
            <color theme="1"/>
            <rFont val="Calibri"/>
            <family val="2"/>
            <scheme val="minor"/>
          </rPr>
          <t>0.03347 kg CO2 eq./kWh [UK Government GHG Conversion Factors for Company Reporting: https://www.gov.uk/government/publications/greenhouse-gas-reporting-conversion-factors-2023]</t>
        </r>
      </text>
    </comment>
    <comment ref="F30" authorId="1" shapeId="0" xr:uid="{0F0547AE-F28D-414A-AECC-EC27DF04826A}">
      <text>
        <r>
          <rPr>
            <sz val="11"/>
            <color theme="1"/>
            <rFont val="Calibri"/>
            <family val="2"/>
            <scheme val="minor"/>
          </rPr>
          <t xml:space="preserve">0.20 kg CO2 eq./kWh [UK Government GHG Conversion Factors for Company Reporting: https://www.gov.uk/government/publications/greenhouse-gas-reporting-conversion-factors-2023]
</t>
        </r>
      </text>
    </comment>
    <comment ref="F31" authorId="0" shapeId="0" xr:uid="{FB9AF64E-DE8B-4E80-BD61-57FCFC6D520A}">
      <text>
        <r>
          <rPr>
            <sz val="11"/>
            <color theme="1"/>
            <rFont val="Calibri"/>
            <family val="2"/>
            <scheme val="minor"/>
          </rPr>
          <t>225-330 gCO2 eq./kWh [ UK Parliament: https://researchbriefings.files.parliament.uk/documents/POST-PN-0523/POST-PN-0523.pdf]</t>
        </r>
      </text>
    </comment>
    <comment ref="F32" authorId="1" shapeId="0" xr:uid="{8F0102E2-D52F-43AE-9827-AA76ACAB9DB4}">
      <text>
        <r>
          <rPr>
            <sz val="11"/>
            <color theme="1"/>
            <rFont val="Calibri"/>
            <family val="2"/>
            <scheme val="minor"/>
          </rPr>
          <t>New boilers are required to have an efficiency rating of at least A or B, which equates to a carbon footprint of 210-230 gCO2eq/kWh for gas boilers. [UK Parliament: https://researchbriefings.files.parliament.uk/documents/POST-PN-0523/POST-PN-0523.pdf]</t>
        </r>
      </text>
    </comment>
    <comment ref="F33" authorId="0" shapeId="0" xr:uid="{30A6E1A7-65A5-41DB-BAF9-95F537531948}">
      <text>
        <r>
          <rPr>
            <sz val="11"/>
            <color theme="1"/>
            <rFont val="Calibri"/>
            <family val="2"/>
            <scheme val="minor"/>
          </rPr>
          <t>350-500 gCO2 eq./kWh [ UK Parliament: https://researchbriefings.files.parliament.uk/documents/POST-PN-0523/POST-PN-0523.pdf]</t>
        </r>
      </text>
    </comment>
    <comment ref="F34" authorId="1" shapeId="0" xr:uid="{124F13F8-D35A-4209-A354-939BC3251F81}">
      <text>
        <r>
          <rPr>
            <sz val="11"/>
            <color theme="1"/>
            <rFont val="Calibri"/>
            <family val="2"/>
            <scheme val="minor"/>
          </rPr>
          <t>220-300 gCO2 eq./kWh [ UK Parliament: https://researchbriefings.files.parliament.uk/documents/POST-PN-0523/POST-PN-0523.pdf]</t>
        </r>
      </text>
    </comment>
    <comment ref="F35" authorId="0" shapeId="0" xr:uid="{BA646527-A10E-442D-94AC-0979DB6E34D0}">
      <text>
        <r>
          <rPr>
            <sz val="11"/>
            <color theme="1"/>
            <rFont val="Calibri"/>
            <family val="2"/>
            <scheme val="minor"/>
          </rPr>
          <t xml:space="preserve">20-100 gCO2 eq./kWh [UK Parliament: https://researchbriefings.files.parliament.uk/documents/POST-PN-0523/POST-PN-0523.pdf]
</t>
        </r>
      </text>
    </comment>
    <comment ref="F36" authorId="1" shapeId="0" xr:uid="{092E9B72-58D9-4D6D-9E63-871294811206}">
      <text>
        <r>
          <rPr>
            <sz val="11"/>
            <color theme="1"/>
            <rFont val="Calibri"/>
            <family val="2"/>
            <scheme val="minor"/>
          </rPr>
          <t xml:space="preserve">6-100 gCO2 eq./kWh [UK Parliament: https://researchbriefings.files.parliament.uk/documents/POST-PN-0523/POST-PN-0523.pdf]
</t>
        </r>
      </text>
    </comment>
    <comment ref="F37" authorId="0" shapeId="0" xr:uid="{152096A9-4175-41C1-9252-85CE401071F7}">
      <text>
        <r>
          <rPr>
            <sz val="11"/>
            <color theme="1"/>
            <rFont val="Calibri"/>
            <family val="2"/>
            <scheme val="minor"/>
          </rPr>
          <t>0.01741 kg CO2eq./tkm [GHG Protocol - average rail]
0.012 kg CO2eq./tkm - Rail, medium-length train (electric 73%, diesel 27%) [Transport data from STREAM Freight Transport 2020 – February 2021 [ CE DELFT]: https://cedelft.eu/wp-content/uploads/sites/2/2021/03/CE_Delft_190325_STREAM_Freight_Transport_2020_FINAL.pdf]</t>
        </r>
      </text>
    </comment>
    <comment ref="F38" authorId="0" shapeId="0" xr:uid="{1B2AFD49-53AF-44E1-B358-6A38116646B5}">
      <text>
        <r>
          <rPr>
            <sz val="11"/>
            <color theme="1"/>
            <rFont val="Calibri"/>
            <family val="2"/>
            <scheme val="minor"/>
          </rPr>
          <t>0.622734086 kg CO2eq/t km [GHG Protocol - aviation, long haul]
0.544 kg CO2 eq./tkm - aviation long haul (average) [Transport data from STREAM Freight Transport 2020 – February 2021 [ CE DELFT]: https://cedelft.eu/wp-content/uploads/sites/2/2021/03/CE_Delft_190325_STREAM_Freight_Transport_2020_FINAL.pdf]</t>
        </r>
      </text>
    </comment>
    <comment ref="F39" authorId="1" shapeId="0" xr:uid="{23212531-ED2C-4E7F-99F5-4853B92FF3AA}">
      <text>
        <r>
          <rPr>
            <sz val="11"/>
            <color theme="1"/>
            <rFont val="Calibri"/>
            <family val="2"/>
            <scheme val="minor"/>
          </rPr>
          <t xml:space="preserve">1.483384086 kg CO2 eq./tkm [calculated from the tool from GHG Protocol]
</t>
        </r>
      </text>
    </comment>
    <comment ref="F40" authorId="0" shapeId="0" xr:uid="{22047982-3566-47FA-9B78-BA7AD0114E24}">
      <text>
        <r>
          <rPr>
            <sz val="11"/>
            <color theme="1"/>
            <rFont val="Calibri"/>
            <family val="2"/>
            <scheme val="minor"/>
          </rPr>
          <t>0.203985761 kg CO2eq/t km [GHG Protocol - average road vehicle]
0.256 kg CO2 eq./tkm - truck , medium size [Transport data from STREAM Freight Transport 2020 – February 2021 [ CE DELFT]: https://cedelft.eu/wp-content/uploads/sites/2/2021/03/CE_Delft_190325_STREAM_Freight_Transport_2020_FINAL.pdf]</t>
        </r>
      </text>
    </comment>
    <comment ref="F41" authorId="0" shapeId="0" xr:uid="{50A3DB40-C838-4D6D-BBB8-7AB4DD927E10}">
      <text>
        <r>
          <rPr>
            <sz val="11"/>
            <color theme="1"/>
            <rFont val="Calibri"/>
            <family val="2"/>
            <scheme val="minor"/>
          </rPr>
          <t>0.0094 kg CO2eq/t km [GHG Protocol - Shipping - Large Tanker - UK]
0.0066 kg CO2 eq./tkm - maritime shipping - deep sea [Transport data from STREAM Freight Transport 2020 – February 2021 [ CE DELFT]: https://cedelft.eu/wp-content/uploads/sites/2/2021/03/CE_Delft_190325_STREAM_Freight_Transport_2020_FINAL.pdf]
0.03321 kg CO2 eq./tkm [ calculated from GHG Protocol emission factors]</t>
        </r>
      </text>
    </comment>
    <comment ref="F54" authorId="0" shapeId="0" xr:uid="{B2FF2FD4-5031-4153-ADE5-DC2789574F62}">
      <text>
        <r>
          <rPr>
            <sz val="11"/>
            <color theme="1"/>
            <rFont val="Calibri"/>
            <family val="2"/>
            <scheme val="minor"/>
          </rPr>
          <t>0.201 kg CO2eq/m³ [UK Government GHG Conversion Factors for Company Reporting: https://www.gov.uk/government/publications/greenhouse-gas-reporting-conversion-factors-2023]</t>
        </r>
      </text>
    </comment>
    <comment ref="F67" authorId="0" shapeId="0" xr:uid="{00000000-0006-0000-0800-00001A000000}">
      <text>
        <r>
          <rPr>
            <sz val="9"/>
            <color indexed="81"/>
            <rFont val="Tahoma"/>
            <family val="2"/>
          </rPr>
          <t>0.55 kg CO2 eq./kg oxygen (in cylinders)
[Variny et al., 2021] - https://www.mdpi.com/1660-4601/18/19/10370
0.6 kg CO2eq/kg [Ecoinvent]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B72" authorId="0" shapeId="0" xr:uid="{00000000-0006-0000-0A00-000001000000}">
      <text>
        <r>
          <rPr>
            <sz val="9"/>
            <color indexed="81"/>
            <rFont val="Tahoma"/>
            <family val="2"/>
          </rPr>
          <t>Recycled content=(Mass secundary input [kg])/(Mass total input [kg])</t>
        </r>
      </text>
    </comment>
    <comment ref="B73" authorId="0" shapeId="0" xr:uid="{00000000-0006-0000-0A00-000002000000}">
      <text>
        <r>
          <rPr>
            <sz val="9"/>
            <color indexed="81"/>
            <rFont val="Tahoma"/>
            <family val="2"/>
          </rPr>
          <t>Renewable content=(Mass renewable input [kg])/(Mass total input [kg])</t>
        </r>
      </text>
    </comment>
    <comment ref="B74" authorId="0" shapeId="0" xr:uid="{00000000-0006-0000-0A00-000003000000}">
      <text>
        <r>
          <rPr>
            <sz val="9"/>
            <color indexed="81"/>
            <rFont val="Tahoma"/>
            <family val="2"/>
          </rPr>
          <t>Reuse rate=(Mass_reusable materials [kg])/(Mass_total output [kg] )</t>
        </r>
      </text>
    </comment>
    <comment ref="B75" authorId="0" shapeId="0" xr:uid="{00000000-0006-0000-0A00-000004000000}">
      <text>
        <r>
          <rPr>
            <sz val="9"/>
            <color indexed="81"/>
            <rFont val="Tahoma"/>
            <family val="2"/>
          </rPr>
          <t>Recycling rate=(Mass_materials going to recycling  [kg])/(Mass_total output [kg])</t>
        </r>
      </text>
    </comment>
    <comment ref="B76" authorId="0" shapeId="0" xr:uid="{00000000-0006-0000-0A00-000005000000}">
      <text>
        <r>
          <rPr>
            <sz val="9"/>
            <color indexed="81"/>
            <rFont val="Tahoma"/>
            <family val="2"/>
          </rPr>
          <t>Recycling output rate=(Mass_materials after recycling [kg])/(Mass_total output [kg])</t>
        </r>
      </text>
    </comment>
    <comment ref="B77" authorId="0" shapeId="0" xr:uid="{00000000-0006-0000-0A00-000006000000}">
      <text>
        <r>
          <rPr>
            <sz val="9"/>
            <color indexed="81"/>
            <rFont val="Tahoma"/>
            <family val="2"/>
          </rPr>
          <t>Share of renewable energy=(Energy input_renewable [MJ])/(Energy input_total [MJ])</t>
        </r>
      </text>
    </comment>
    <comment ref="C265" authorId="0" shapeId="0" xr:uid="{00000000-0006-0000-0A00-000007000000}">
      <text>
        <r>
          <rPr>
            <sz val="9"/>
            <color indexed="81"/>
            <rFont val="Tahoma"/>
            <family val="2"/>
          </rPr>
          <t>levelized cost of hydrogen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B70" authorId="0" shapeId="0" xr:uid="{FA0CA4FE-8B3C-4256-99C7-8F5814025237}">
      <text>
        <r>
          <rPr>
            <sz val="9"/>
            <color indexed="81"/>
            <rFont val="Tahoma"/>
            <family val="2"/>
          </rPr>
          <t>Recycled content=(Mass secundary input [kg])/(Mass total input [kg])</t>
        </r>
      </text>
    </comment>
    <comment ref="B71" authorId="0" shapeId="0" xr:uid="{45B56EDD-29C1-4089-9DD2-3C639793059C}">
      <text>
        <r>
          <rPr>
            <sz val="9"/>
            <color indexed="81"/>
            <rFont val="Tahoma"/>
            <family val="2"/>
          </rPr>
          <t>Renewable content=(Mass renewable input [kg])/(Mass total input [kg])</t>
        </r>
      </text>
    </comment>
    <comment ref="B72" authorId="0" shapeId="0" xr:uid="{01C27139-F625-43F4-9DBF-69C5CB87F2EA}">
      <text>
        <r>
          <rPr>
            <sz val="9"/>
            <color indexed="81"/>
            <rFont val="Tahoma"/>
            <family val="2"/>
          </rPr>
          <t>Reuse rate=(Mass_reusable materials [kg])/(Mass_total output [kg] )</t>
        </r>
      </text>
    </comment>
    <comment ref="B73" authorId="0" shapeId="0" xr:uid="{C1A9AFC5-8A30-4C52-A86A-6517B328C25F}">
      <text>
        <r>
          <rPr>
            <sz val="9"/>
            <color indexed="81"/>
            <rFont val="Tahoma"/>
            <family val="2"/>
          </rPr>
          <t>Recycling rate=(Mass_materials going to recycling  [kg])/(Mass_total output [kg])</t>
        </r>
      </text>
    </comment>
    <comment ref="B74" authorId="0" shapeId="0" xr:uid="{7FE23F3C-B53A-4D16-9753-6A8DBDFE43FF}">
      <text>
        <r>
          <rPr>
            <sz val="9"/>
            <color indexed="81"/>
            <rFont val="Tahoma"/>
            <family val="2"/>
          </rPr>
          <t>Recycling output rate=(Mass_materials after recycling [kg])/(Mass_total output [kg])</t>
        </r>
      </text>
    </comment>
    <comment ref="B75" authorId="0" shapeId="0" xr:uid="{6814F52C-28A5-4CD7-8064-857C4C617BAF}">
      <text>
        <r>
          <rPr>
            <sz val="9"/>
            <color indexed="81"/>
            <rFont val="Tahoma"/>
            <family val="2"/>
          </rPr>
          <t>Share of renewable energy=(Energy input_renewable [MJ])/(Energy input_total [MJ])</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B70" authorId="0" shapeId="0" xr:uid="{BD17ED2C-7E26-4586-A606-2ADB53C3351B}">
      <text>
        <r>
          <rPr>
            <sz val="9"/>
            <color indexed="81"/>
            <rFont val="Tahoma"/>
            <family val="2"/>
          </rPr>
          <t>Recycled content=(Mass secundary input [kg])/(Mass total input [kg])</t>
        </r>
      </text>
    </comment>
    <comment ref="B71" authorId="0" shapeId="0" xr:uid="{76DABCC1-AE6D-466F-866F-61AF41DE772D}">
      <text>
        <r>
          <rPr>
            <sz val="9"/>
            <color indexed="81"/>
            <rFont val="Tahoma"/>
            <family val="2"/>
          </rPr>
          <t>Renewable content=(Mass renewable input [kg])/(Mass total input [kg])</t>
        </r>
      </text>
    </comment>
    <comment ref="B72" authorId="0" shapeId="0" xr:uid="{A88A6BB8-634D-44F3-B3BB-FE613046CFE9}">
      <text>
        <r>
          <rPr>
            <sz val="9"/>
            <color indexed="81"/>
            <rFont val="Tahoma"/>
            <family val="2"/>
          </rPr>
          <t>Reuse rate=(Mass_reusable materials [kg])/(Mass_total output [kg] )</t>
        </r>
      </text>
    </comment>
    <comment ref="B73" authorId="0" shapeId="0" xr:uid="{9F07508D-220D-4396-9850-8E7AE34D986D}">
      <text>
        <r>
          <rPr>
            <sz val="9"/>
            <color indexed="81"/>
            <rFont val="Tahoma"/>
            <family val="2"/>
          </rPr>
          <t>Recycling rate=(Mass_materials going to recycling  [kg])/(Mass_total output [kg])</t>
        </r>
      </text>
    </comment>
    <comment ref="B74" authorId="0" shapeId="0" xr:uid="{BF576492-C74F-4951-8985-83C230AEB1B3}">
      <text>
        <r>
          <rPr>
            <sz val="9"/>
            <color indexed="81"/>
            <rFont val="Tahoma"/>
            <family val="2"/>
          </rPr>
          <t>Recycling output rate=(Mass_materials after recycling [kg])/(Mass_total output [kg])</t>
        </r>
      </text>
    </comment>
    <comment ref="B75" authorId="0" shapeId="0" xr:uid="{ACC758E8-399E-41EF-A18A-6ECDAA3F44D6}">
      <text>
        <r>
          <rPr>
            <sz val="9"/>
            <color indexed="81"/>
            <rFont val="Tahoma"/>
            <family val="2"/>
          </rPr>
          <t>Share of renewable energy=(Energy input_renewable [MJ])/(Energy input_total [MJ])</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Van Dael Miet</author>
  </authors>
  <commentList>
    <comment ref="B70" authorId="0" shapeId="0" xr:uid="{2E90E142-D5C1-431D-8E7E-DC19B9E404A0}">
      <text>
        <r>
          <rPr>
            <sz val="9"/>
            <color indexed="81"/>
            <rFont val="Tahoma"/>
            <family val="2"/>
          </rPr>
          <t>Recycled content=(Mass secundary input [kg])/(Mass total input [kg])</t>
        </r>
      </text>
    </comment>
    <comment ref="B71" authorId="0" shapeId="0" xr:uid="{1EC84BC4-12FD-43D0-858C-D2D5F9A807C4}">
      <text>
        <r>
          <rPr>
            <sz val="9"/>
            <color indexed="81"/>
            <rFont val="Tahoma"/>
            <family val="2"/>
          </rPr>
          <t>Renewable content=(Mass renewable input [kg])/(Mass total input [kg])</t>
        </r>
      </text>
    </comment>
    <comment ref="B72" authorId="0" shapeId="0" xr:uid="{ACA3F313-1C03-422C-8468-16B2AB19F466}">
      <text>
        <r>
          <rPr>
            <sz val="9"/>
            <color indexed="81"/>
            <rFont val="Tahoma"/>
            <family val="2"/>
          </rPr>
          <t>Reuse rate=(Mass_reusable materials [kg])/(Mass_total output [kg] )</t>
        </r>
      </text>
    </comment>
    <comment ref="B73" authorId="0" shapeId="0" xr:uid="{7CD312A1-5643-4F63-B327-F67DD94BD7FA}">
      <text>
        <r>
          <rPr>
            <sz val="9"/>
            <color indexed="81"/>
            <rFont val="Tahoma"/>
            <family val="2"/>
          </rPr>
          <t>Recycling rate=(Mass_materials going to recycling  [kg])/(Mass_total output [kg])</t>
        </r>
      </text>
    </comment>
    <comment ref="B74" authorId="0" shapeId="0" xr:uid="{6F44BBCA-3F66-4BEB-9009-5581D35AB6DE}">
      <text>
        <r>
          <rPr>
            <sz val="9"/>
            <color indexed="81"/>
            <rFont val="Tahoma"/>
            <family val="2"/>
          </rPr>
          <t>Recycling output rate=(Mass_materials after recycling [kg])/(Mass_total output [kg])</t>
        </r>
      </text>
    </comment>
    <comment ref="B75" authorId="0" shapeId="0" xr:uid="{6325495B-3AA8-487B-B493-478F4275E54A}">
      <text>
        <r>
          <rPr>
            <sz val="9"/>
            <color indexed="81"/>
            <rFont val="Tahoma"/>
            <family val="2"/>
          </rPr>
          <t>Share of renewable energy=(Energy input_renewable [MJ])/(Energy input_total [MJ])</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Van Dael Miet</author>
    <author>Francisco MENDEZ ALVA</author>
    <author>Mohammed Nazeer Khan</author>
    <author>Pieterjan Debergh</author>
    <author>Miet Van Dael</author>
    <author>Mohammed El Ibrahimi</author>
  </authors>
  <commentList>
    <comment ref="C5" authorId="0" shapeId="0" xr:uid="{00000000-0006-0000-0B00-000001000000}">
      <text>
        <r>
          <rPr>
            <sz val="9"/>
            <color indexed="81"/>
            <rFont val="Tahoma"/>
            <family val="2"/>
          </rPr>
          <t>1 = recommended; 
2 = recommended or problematic?; Problematic; 
3 = problematic or hazardous?; Hazardous; Highly hazardous</t>
        </r>
      </text>
    </comment>
    <comment ref="E5" authorId="0" shapeId="0" xr:uid="{00000000-0006-0000-0B00-000002000000}">
      <text>
        <r>
          <rPr>
            <sz val="9"/>
            <color indexed="81"/>
            <rFont val="Tahoma"/>
            <family val="2"/>
          </rPr>
          <t>EF 3.0 method used
RER = Europe</t>
        </r>
      </text>
    </comment>
    <comment ref="I5" authorId="0" shapeId="0" xr:uid="{00000000-0006-0000-0B00-000003000000}">
      <text>
        <r>
          <rPr>
            <sz val="9"/>
            <color indexed="81"/>
            <rFont val="Tahoma"/>
            <family val="2"/>
          </rPr>
          <t>1 = No Critical Raw Material
3 = Critical Raw Material</t>
        </r>
      </text>
    </comment>
    <comment ref="D6" authorId="1" shapeId="0" xr:uid="{07AE2390-8179-4803-9912-A232447625E4}">
      <text>
        <r>
          <rPr>
            <sz val="11"/>
            <color theme="1"/>
            <rFont val="Calibri"/>
            <family val="2"/>
            <scheme val="minor"/>
          </rPr>
          <t>$3.50 - $10.00/kg [Alibaba, 2023]
2000 USD per tonne in 2019 [Market Insights Reports]</t>
        </r>
      </text>
    </comment>
    <comment ref="J6" authorId="2" shapeId="0" xr:uid="{00000000-0006-0000-0B00-000006000000}">
      <text>
        <r>
          <rPr>
            <sz val="11"/>
            <color theme="1"/>
            <rFont val="Calibri"/>
            <family val="2"/>
            <scheme val="minor"/>
          </rPr>
          <t>2280 - 2650 $/ton in 2023 [Daily metal prices]
1300 - 1800 eur/ton in 2015
1570 - 1680 eur/ton in 2019
[CRM factsheets 2020]</t>
        </r>
      </text>
    </comment>
    <comment ref="D7" authorId="1" shapeId="0" xr:uid="{F39B7D7D-49AB-4B32-81C4-E997203753A1}">
      <text>
        <r>
          <rPr>
            <sz val="11"/>
            <color theme="1"/>
            <rFont val="Calibri"/>
            <family val="2"/>
            <scheme val="minor"/>
          </rPr>
          <t>766 USD/t [https://www.chemanalyst.com/Pricing-data/acetic-anhydride-1157]</t>
        </r>
      </text>
    </comment>
    <comment ref="J7" authorId="2" shapeId="0" xr:uid="{00000000-0006-0000-0B00-000009000000}">
      <text>
        <r>
          <rPr>
            <sz val="11"/>
            <color theme="1"/>
            <rFont val="Calibri"/>
            <family val="2"/>
            <scheme val="minor"/>
          </rPr>
          <t>6600 $/ton in 2015
7800 $/ton in 2018
[CRM factsheets 2020]</t>
        </r>
      </text>
    </comment>
    <comment ref="D8" authorId="0" shapeId="0" xr:uid="{0C5E8B3B-D46B-4C71-84AB-D6F719FCE2BD}">
      <text>
        <r>
          <rPr>
            <sz val="9"/>
            <color indexed="81"/>
            <rFont val="Tahoma"/>
            <family val="2"/>
          </rPr>
          <t>450-1000 between 2019 and 2020 [ICIS]</t>
        </r>
      </text>
    </comment>
    <comment ref="J8" authorId="1" shapeId="0" xr:uid="{00000000-0006-0000-0B00-00000C000000}">
      <text>
        <r>
          <rPr>
            <sz val="11"/>
            <color theme="1"/>
            <rFont val="Calibri"/>
            <family val="2"/>
            <scheme val="minor"/>
          </rPr>
          <t>0.94-1.34 USD/lb 
2088-2977 USD/t [https://www.statista.com/statistics/797487/us-arsenic-average-price/; Consulted on 03/05/2023]
1448-6220 EUR/t [https://www.scrapmonster.com/metal-prices/country/europe/145; Consulted on 03/05/2023]
2350-2900 USD/t [https://dutch.alibaba.com/trade/search?tab=all&amp;searchText=Arsenic+; Consulted on 03/05/2023]</t>
        </r>
      </text>
    </comment>
    <comment ref="D9" authorId="1" shapeId="0" xr:uid="{17EDB5A2-03EC-4348-A718-7CDDEC608F43}">
      <text>
        <r>
          <rPr>
            <sz val="11"/>
            <color theme="1"/>
            <rFont val="Calibri"/>
            <family val="2"/>
            <scheme val="minor"/>
          </rPr>
          <t>3295 USD/MT [Chemanalyst, 2022]</t>
        </r>
      </text>
    </comment>
    <comment ref="J9" authorId="2" shapeId="0" xr:uid="{00000000-0006-0000-0B00-00000F000000}">
      <text>
        <r>
          <rPr>
            <sz val="11"/>
            <color theme="1"/>
            <rFont val="Calibri"/>
            <family val="2"/>
            <scheme val="minor"/>
          </rPr>
          <t xml:space="preserve">194 $/ton in 2015
180 $/ton in 2018
[CRM factsheets 2020]
</t>
        </r>
      </text>
    </comment>
    <comment ref="D10" authorId="1" shapeId="0" xr:uid="{FD261818-5D39-4AF5-80D7-834E119E7D02}">
      <text>
        <r>
          <rPr>
            <sz val="11"/>
            <color theme="1"/>
            <rFont val="Calibri"/>
            <family val="2"/>
            <scheme val="minor"/>
          </rPr>
          <t>744-940 USD/ton
Chemanalyst, 2022</t>
        </r>
      </text>
    </comment>
    <comment ref="J10" authorId="2" shapeId="0" xr:uid="{00000000-0006-0000-0B00-000012000000}">
      <text>
        <r>
          <rPr>
            <sz val="11"/>
            <color theme="1"/>
            <rFont val="Calibri"/>
            <family val="2"/>
            <scheme val="minor"/>
          </rPr>
          <t>53 eur/ton in 2015
41-43 eur/ton in 2018
[CRM factsheets 2020]</t>
        </r>
      </text>
    </comment>
    <comment ref="D11" authorId="1" shapeId="0" xr:uid="{118B6B5B-F725-48C6-A915-60EFE3BB7A36}">
      <text>
        <r>
          <rPr>
            <sz val="11"/>
            <color theme="1"/>
            <rFont val="Calibri"/>
            <family val="2"/>
            <scheme val="minor"/>
          </rPr>
          <t>4159-4289 USD/MT
Chemanalyst, 2022</t>
        </r>
      </text>
    </comment>
    <comment ref="J11" authorId="2" shapeId="0" xr:uid="{00000000-0006-0000-0B00-000014000000}">
      <text>
        <r>
          <rPr>
            <sz val="11"/>
            <color theme="1"/>
            <rFont val="Calibri"/>
            <family val="2"/>
            <scheme val="minor"/>
          </rPr>
          <t xml:space="preserve">No price of pure beryllium available. Only Be alloy prices
500 $/kg in 2018 (Be-copper alloy
300-1500 eur/kg in 2016 (pure beryllium aerospace component)
200-500 eur/kg in 2016 (39% Be alloy aerospace component)
[CRM factsheets 2020]
</t>
        </r>
      </text>
    </comment>
    <comment ref="D12" authorId="0" shapeId="0" xr:uid="{F999307E-3BC1-435F-9CFD-695C7C43F0AF}">
      <text>
        <r>
          <rPr>
            <sz val="9"/>
            <color indexed="81"/>
            <rFont val="Tahoma"/>
            <family val="2"/>
          </rPr>
          <t>250-1000 between 2016 and 2020 [ICIS]</t>
        </r>
      </text>
    </comment>
    <comment ref="J12" authorId="2" shapeId="0" xr:uid="{00000000-0006-0000-0B00-000017000000}">
      <text>
        <r>
          <rPr>
            <sz val="11"/>
            <color theme="1"/>
            <rFont val="Calibri"/>
            <family val="2"/>
            <scheme val="minor"/>
          </rPr>
          <t>5.6 - 6.4 $/ton in 2019
[CRM factsheets 2020]</t>
        </r>
      </text>
    </comment>
    <comment ref="D13" authorId="1" shapeId="0" xr:uid="{69477227-468C-4C3E-82F8-A05ADA3B976C}">
      <text>
        <r>
          <rPr>
            <sz val="11"/>
            <color theme="1"/>
            <rFont val="Calibri"/>
            <family val="2"/>
            <scheme val="minor"/>
          </rPr>
          <t>2805 USD/MT
Chemanalyst, 2022</t>
        </r>
      </text>
    </comment>
    <comment ref="J13" authorId="2" shapeId="0" xr:uid="{00000000-0006-0000-0B00-00001A000000}">
      <text>
        <r>
          <rPr>
            <sz val="11"/>
            <color theme="1"/>
            <rFont val="Calibri"/>
            <family val="2"/>
            <scheme val="minor"/>
          </rPr>
          <t>280 - 460 eur/ton in 2018 (various borate commodities)
[CRM factsheets 2020]</t>
        </r>
      </text>
    </comment>
    <comment ref="D14" authorId="0" shapeId="0" xr:uid="{511CC483-FC28-4F55-AAE7-889671EA21F1}">
      <text>
        <r>
          <rPr>
            <sz val="9"/>
            <color indexed="81"/>
            <rFont val="Tahoma"/>
            <family val="2"/>
          </rPr>
          <t>800-1100 between 2017 and 2019 [ICIS]
900-1200 between 2019 and 2020 [ICIS]
950-1100 [ICIS]</t>
        </r>
      </text>
    </comment>
    <comment ref="J14" authorId="1" shapeId="0" xr:uid="{00000000-0006-0000-0B00-00001D000000}">
      <text>
        <r>
          <rPr>
            <sz val="11"/>
            <color theme="1"/>
            <rFont val="Calibri"/>
            <family val="2"/>
            <scheme val="minor"/>
          </rPr>
          <t>4,477.18 -4,549.39 USD/t [https://www.metal.com/Other-Minor-Metals/201102250510; consulted 03/05/2023]</t>
        </r>
      </text>
    </comment>
    <comment ref="D15" authorId="3" shapeId="0" xr:uid="{284DBA4B-BB1C-45D8-A75C-B5EFE769DD89}">
      <text>
        <r>
          <rPr>
            <sz val="11"/>
            <color theme="1"/>
            <rFont val="Calibri"/>
            <family val="2"/>
            <scheme val="minor"/>
          </rPr>
          <t>700-800 USD/t in 2020 [Indexbox.io]
1250 USD/t in 2018 in China [Echemi]</t>
        </r>
      </text>
    </comment>
    <comment ref="J15" authorId="1" shapeId="0" xr:uid="{00000000-0006-0000-0B00-00001F000000}">
      <text>
        <r>
          <rPr>
            <sz val="11"/>
            <color theme="1"/>
            <rFont val="Calibri"/>
            <family val="2"/>
            <scheme val="minor"/>
          </rPr>
          <t>10,109.76 -10,831.89 USD/t [https://www.metal.com/Chromium/201102250234; consulted 03/05/2023]</t>
        </r>
      </text>
    </comment>
    <comment ref="D16" authorId="3" shapeId="0" xr:uid="{1E00B0EB-7531-4387-9508-19E05B087294}">
      <text>
        <r>
          <rPr>
            <sz val="11"/>
            <color theme="1"/>
            <rFont val="Calibri"/>
            <family val="2"/>
            <scheme val="minor"/>
          </rPr>
          <t>900-1000 euro/ton in 2018 in DE [Intratec]</t>
        </r>
      </text>
    </comment>
    <comment ref="J16" authorId="2" shapeId="0" xr:uid="{00000000-0006-0000-0B00-000021000000}">
      <text>
        <r>
          <rPr>
            <sz val="11"/>
            <color theme="1"/>
            <rFont val="Calibri"/>
            <family val="2"/>
            <scheme val="minor"/>
          </rPr>
          <t>35000 - 52500 $/ton in 2023 [Daily metal prices]</t>
        </r>
      </text>
    </comment>
    <comment ref="D17" authorId="1" shapeId="0" xr:uid="{00170B9D-EBBE-4BDD-B869-FF88FFDCE2B9}">
      <text>
        <r>
          <rPr>
            <sz val="11"/>
            <color theme="1"/>
            <rFont val="Calibri"/>
            <family val="2"/>
            <scheme val="minor"/>
          </rPr>
          <t xml:space="preserve">950 USD/MT [Chemanalyst, 2022]
</t>
        </r>
      </text>
    </comment>
    <comment ref="J17" authorId="2" shapeId="0" xr:uid="{00000000-0006-0000-0B00-000022000000}">
      <text>
        <r>
          <rPr>
            <sz val="11"/>
            <color theme="1"/>
            <rFont val="Calibri"/>
            <family val="2"/>
            <scheme val="minor"/>
          </rPr>
          <t>100 eur/ton in 2015
160 eur/ton in 2018
[CRM factsheets 2020]</t>
        </r>
      </text>
    </comment>
    <comment ref="D18" authorId="0" shapeId="0" xr:uid="{A9C9A236-0A0B-44E3-A917-D8FA155366DB}">
      <text>
        <r>
          <rPr>
            <sz val="9"/>
            <color indexed="81"/>
            <rFont val="Tahoma"/>
            <family val="2"/>
          </rPr>
          <t>700-1100 between 2017-2018, follows price of benzene [ICIS]</t>
        </r>
      </text>
    </comment>
    <comment ref="J18" authorId="2" shapeId="0" xr:uid="{00000000-0006-0000-0B00-000025000000}">
      <text>
        <r>
          <rPr>
            <sz val="11"/>
            <color theme="1"/>
            <rFont val="Calibri"/>
            <family val="2"/>
            <scheme val="minor"/>
          </rPr>
          <t>8250 - 9400 $/ton in 2023 [Daily metal prices]</t>
        </r>
      </text>
    </comment>
    <comment ref="J19" authorId="2" shapeId="0" xr:uid="{00000000-0006-0000-0B00-000027000000}">
      <text>
        <r>
          <rPr>
            <sz val="11"/>
            <color theme="1"/>
            <rFont val="Calibri"/>
            <family val="2"/>
            <scheme val="minor"/>
          </rPr>
          <t>410 $/ton in 2023 [Chemanalyst]</t>
        </r>
      </text>
    </comment>
    <comment ref="D20" authorId="1" shapeId="0" xr:uid="{248768A1-5CB9-45F7-8FFD-3B7540E71697}">
      <text>
        <r>
          <rPr>
            <sz val="11"/>
            <color theme="1"/>
            <rFont val="Calibri"/>
            <family val="2"/>
            <scheme val="minor"/>
          </rPr>
          <t xml:space="preserve">293 - 761 USD/MT [Chemanalyst, 2022]
</t>
        </r>
      </text>
    </comment>
    <comment ref="J20" authorId="2" shapeId="0" xr:uid="{00000000-0006-0000-0B00-000029000000}">
      <text>
        <r>
          <rPr>
            <sz val="11"/>
            <color theme="1"/>
            <rFont val="Calibri"/>
            <family val="2"/>
            <scheme val="minor"/>
          </rPr>
          <t>239000 - 300000 $/ton in 2023 [Daily metal prices]</t>
        </r>
      </text>
    </comment>
    <comment ref="D21" authorId="0" shapeId="0" xr:uid="{AD7AA25A-BEAE-4DB5-A0BD-583D1ED549F2}">
      <text>
        <r>
          <rPr>
            <sz val="9"/>
            <color indexed="81"/>
            <rFont val="Tahoma"/>
            <family val="2"/>
          </rPr>
          <t>500-580 in 2017 [ICIS]</t>
        </r>
      </text>
    </comment>
    <comment ref="J21" authorId="2" shapeId="0" xr:uid="{00000000-0006-0000-0B00-00002C000000}">
      <text>
        <r>
          <rPr>
            <sz val="11"/>
            <color theme="1"/>
            <rFont val="Calibri"/>
            <family val="2"/>
            <scheme val="minor"/>
          </rPr>
          <t>1300 $/kg in 2018 [CRM factsheets 2020]</t>
        </r>
      </text>
    </comment>
    <comment ref="D22" authorId="2" shapeId="0" xr:uid="{CE196BD4-2AA0-4919-9096-79EB005133F2}">
      <text>
        <r>
          <rPr>
            <sz val="11"/>
            <color theme="1"/>
            <rFont val="Calibri"/>
            <family val="2"/>
            <scheme val="minor"/>
          </rPr>
          <t>2872 USD/MT in 2018 [Intratec.us]</t>
        </r>
      </text>
    </comment>
    <comment ref="J22" authorId="2" shapeId="0" xr:uid="{00000000-0006-0000-0B00-00002D000000}">
      <text>
        <r>
          <rPr>
            <sz val="11"/>
            <color theme="1"/>
            <rFont val="Calibri"/>
            <family val="2"/>
            <scheme val="minor"/>
          </rPr>
          <t>58,200,000 - 65,600,000 $/ton in 2023 [Daily metal prices]</t>
        </r>
      </text>
    </comment>
    <comment ref="D23" authorId="1" shapeId="0" xr:uid="{CC3657E4-BB8E-40A9-AC15-74CDFB055221}">
      <text>
        <r>
          <rPr>
            <sz val="11"/>
            <color theme="1"/>
            <rFont val="Calibri"/>
            <family val="2"/>
            <scheme val="minor"/>
          </rPr>
          <t>3120 USD/MT
Chemanalyst, 2022</t>
        </r>
      </text>
    </comment>
    <comment ref="J23" authorId="2" shapeId="0" xr:uid="{00000000-0006-0000-0B00-00002E000000}">
      <text>
        <r>
          <rPr>
            <sz val="11"/>
            <color theme="1"/>
            <rFont val="Calibri"/>
            <family val="2"/>
            <scheme val="minor"/>
          </rPr>
          <t>850-1900 eur/kg in 2009-2017 [CRM factsheets 2020]</t>
        </r>
      </text>
    </comment>
    <comment ref="J25" authorId="1" shapeId="0" xr:uid="{00000000-0006-0000-0B00-00002F000000}">
      <text>
        <r>
          <rPr>
            <sz val="11"/>
            <color theme="1"/>
            <rFont val="Calibri"/>
            <family val="2"/>
            <scheme val="minor"/>
          </rPr>
          <t>7.57 USD/m³ [https://pubs.usgs.gov/periodicals/mcs2020/mcs2020-helium.pdf]</t>
        </r>
      </text>
    </comment>
    <comment ref="J26" authorId="2" shapeId="0" xr:uid="{00000000-0006-0000-0B00-000031000000}">
      <text>
        <r>
          <rPr>
            <sz val="11"/>
            <color theme="1"/>
            <rFont val="Calibri"/>
            <family val="2"/>
            <scheme val="minor"/>
          </rPr>
          <t>206000 - 230000 $/ton in 2023 [Daily metal prices]</t>
        </r>
      </text>
    </comment>
    <comment ref="J27" authorId="2" shapeId="0" xr:uid="{00000000-0006-0000-0B00-000032000000}">
      <text>
        <r>
          <rPr>
            <sz val="11"/>
            <color theme="1"/>
            <rFont val="Calibri"/>
            <family val="2"/>
            <scheme val="minor"/>
          </rPr>
          <t>2020 - 2330 $/ton in 2023 [Daily metal prices]</t>
        </r>
      </text>
    </comment>
    <comment ref="D28" authorId="3" shapeId="0" xr:uid="{8647E353-1B71-4DF0-89EB-303DFD4AFAB3}">
      <text>
        <r>
          <rPr>
            <sz val="11"/>
            <color theme="1"/>
            <rFont val="Calibri"/>
            <family val="2"/>
            <scheme val="minor"/>
          </rPr>
          <t>2700 USD/MT [Echemi]</t>
        </r>
      </text>
    </comment>
    <comment ref="D29" authorId="0" shapeId="0" xr:uid="{CEE67C93-F63B-43BB-9F06-4D806558C37A}">
      <text>
        <r>
          <rPr>
            <sz val="9"/>
            <color indexed="81"/>
            <rFont val="Tahoma"/>
            <family val="2"/>
          </rPr>
          <t>1000 [Alibaba]</t>
        </r>
      </text>
    </comment>
    <comment ref="J29" authorId="2" shapeId="0" xr:uid="{00000000-0006-0000-0B00-000036000000}">
      <text>
        <r>
          <rPr>
            <sz val="11"/>
            <color theme="1"/>
            <rFont val="Calibri"/>
            <family val="2"/>
            <scheme val="minor"/>
          </rPr>
          <t>25000 - 76000 $/ton in 2023 [Daily metal prices]</t>
        </r>
      </text>
    </comment>
    <comment ref="D30" authorId="0" shapeId="0" xr:uid="{78FC1C4E-39E0-42AB-B9D9-AD460A62D1F9}">
      <text>
        <r>
          <rPr>
            <sz val="9"/>
            <color indexed="81"/>
            <rFont val="Tahoma"/>
            <family val="2"/>
          </rPr>
          <t>500-700 in 2019-2020 [ICIS]
825 average 2010-2019 [ICIS]</t>
        </r>
      </text>
    </comment>
    <comment ref="J30" authorId="2" shapeId="0" xr:uid="{00000000-0006-0000-0B00-000039000000}">
      <text>
        <r>
          <rPr>
            <sz val="11"/>
            <color theme="1"/>
            <rFont val="Calibri"/>
            <family val="2"/>
            <scheme val="minor"/>
          </rPr>
          <t>2300-2750 $/ton in 2018 [CRM factsheets 2020]</t>
        </r>
      </text>
    </comment>
    <comment ref="D31" authorId="0" shapeId="0" xr:uid="{B43035DC-A8E4-4E3C-B170-39FBB69F0695}">
      <text>
        <r>
          <rPr>
            <sz val="9"/>
            <color indexed="81"/>
            <rFont val="Tahoma"/>
            <family val="2"/>
          </rPr>
          <t>1000 in 2018 [ICIS]</t>
        </r>
      </text>
    </comment>
    <comment ref="J31" authorId="1" shapeId="0" xr:uid="{00000000-0006-0000-0B00-00003C000000}">
      <text>
        <r>
          <rPr>
            <sz val="11"/>
            <color theme="1"/>
            <rFont val="Calibri"/>
            <family val="2"/>
            <scheme val="minor"/>
          </rPr>
          <t>2,123.05 -2,151.94 USD/t [https://www.metal.com/Manganese/201106150014; consulted 03.04.2023]</t>
        </r>
      </text>
    </comment>
    <comment ref="D32" authorId="0" shapeId="0" xr:uid="{88AF871A-677C-430D-9462-C0803B94D45A}">
      <text>
        <r>
          <rPr>
            <sz val="9"/>
            <color indexed="81"/>
            <rFont val="Tahoma"/>
            <family val="2"/>
          </rPr>
          <t xml:space="preserve">600-750 for industry </t>
        </r>
      </text>
    </comment>
    <comment ref="J32" authorId="2" shapeId="0" xr:uid="{00000000-0006-0000-0B00-00003F000000}">
      <text>
        <r>
          <rPr>
            <sz val="11"/>
            <color theme="1"/>
            <rFont val="Calibri"/>
            <family val="2"/>
            <scheme val="minor"/>
          </rPr>
          <t>1132 $/ton in 2018 [CRM factsheets 2020]</t>
        </r>
      </text>
    </comment>
    <comment ref="D33" authorId="0" shapeId="0" xr:uid="{3E24B641-EEC4-48EE-A1BD-821B8863AB80}">
      <text>
        <r>
          <rPr>
            <sz val="9"/>
            <color indexed="81"/>
            <rFont val="Tahoma"/>
            <family val="2"/>
          </rPr>
          <t>1300 average 2010-2019 [ICIS]</t>
        </r>
      </text>
    </comment>
    <comment ref="J33" authorId="2" shapeId="0" xr:uid="{00000000-0006-0000-0B00-000042000000}">
      <text>
        <r>
          <rPr>
            <sz val="11"/>
            <color theme="1"/>
            <rFont val="Calibri"/>
            <family val="2"/>
            <scheme val="minor"/>
          </rPr>
          <t>1.5-2 $/kg in 2019 [CRM factsheets 2020]</t>
        </r>
      </text>
    </comment>
    <comment ref="I34" authorId="4" shapeId="0" xr:uid="{3040FD5E-AD5D-423F-9D3B-C7328375E737}">
      <text>
        <r>
          <rPr>
            <sz val="9"/>
            <color indexed="81"/>
            <rFont val="Tahoma"/>
            <charset val="1"/>
          </rPr>
          <t>Battery grade</t>
        </r>
      </text>
    </comment>
    <comment ref="J34" authorId="2" shapeId="0" xr:uid="{00000000-0006-0000-0B00-000044000000}">
      <text>
        <r>
          <rPr>
            <sz val="11"/>
            <color theme="1"/>
            <rFont val="Calibri"/>
            <family val="2"/>
            <scheme val="minor"/>
          </rPr>
          <t>22200 - 31000 $/ton in 2023 [Daily metal prices]</t>
        </r>
      </text>
    </comment>
    <comment ref="J35" authorId="2" shapeId="0" xr:uid="{00000000-0006-0000-0B00-000046000000}">
      <text>
        <r>
          <rPr>
            <sz val="11"/>
            <color theme="1"/>
            <rFont val="Calibri"/>
            <family val="2"/>
            <scheme val="minor"/>
          </rPr>
          <t>30-35 $/ton in 2019
[CRM factsheets 2020]</t>
        </r>
      </text>
    </comment>
    <comment ref="D36" authorId="0" shapeId="0" xr:uid="{AC096F8A-43B0-4715-83EB-DB8AA33BC744}">
      <text>
        <r>
          <rPr>
            <sz val="9"/>
            <color indexed="81"/>
            <rFont val="Tahoma"/>
            <family val="2"/>
          </rPr>
          <t>700-800 from 2019 to 2020 [ICIS]</t>
        </r>
      </text>
    </comment>
    <comment ref="J36" authorId="2" shapeId="0" xr:uid="{00000000-0006-0000-0B00-000049000000}">
      <text>
        <r>
          <rPr>
            <sz val="11"/>
            <color theme="1"/>
            <rFont val="Calibri"/>
            <family val="2"/>
            <scheme val="minor"/>
          </rPr>
          <t>84.5 eur/ton in 2019
[CRM factsheets 2020]</t>
        </r>
      </text>
    </comment>
    <comment ref="J37" authorId="2" shapeId="0" xr:uid="{00000000-0006-0000-0B00-00004B000000}">
      <text>
        <r>
          <rPr>
            <sz val="11"/>
            <color theme="1"/>
            <rFont val="Calibri"/>
            <family val="2"/>
            <scheme val="minor"/>
          </rPr>
          <t>180-450 eur/ton in 2019 [CRM factsheets 2020]</t>
        </r>
      </text>
    </comment>
    <comment ref="D38" authorId="3" shapeId="0" xr:uid="{2E37EE3D-A792-4A2D-AA7D-55F1CA57CABD}">
      <text>
        <r>
          <rPr>
            <sz val="11"/>
            <color theme="1"/>
            <rFont val="Calibri"/>
            <family val="2"/>
            <scheme val="minor"/>
          </rPr>
          <t>1300-2000 USD/MT [ChemAnalyst]</t>
        </r>
      </text>
    </comment>
    <comment ref="J38" authorId="2" shapeId="0" xr:uid="{00000000-0006-0000-0B00-00004C000000}">
      <text>
        <r>
          <rPr>
            <sz val="11"/>
            <color theme="1"/>
            <rFont val="Calibri"/>
            <family val="2"/>
            <scheme val="minor"/>
          </rPr>
          <t>Iridium: 1490 $/troy oz in 2019
Platinum: 720-790 eur/troy oz in 2019
Palladium: 1200-1380 eur/troy oz in 2019
Rhodium: 3000-5200 $/troy oz in 2019
Ruthenium: 250-280 $/troy oz
Platinum - 29400000 - 35000000 $/ton in 2023 [Daily metal prices]</t>
        </r>
      </text>
    </comment>
    <comment ref="J39" authorId="1" shapeId="0" xr:uid="{00000000-0006-0000-0B00-00004E000000}">
      <text>
        <r>
          <rPr>
            <sz val="11"/>
            <color theme="1"/>
            <rFont val="Calibri"/>
            <family val="2"/>
            <scheme val="minor"/>
          </rPr>
          <t>2,310.8 -2,599.65 USD/kg [https://www.metal.com/Other-Minor-Metals/201102250036; consulted 03.05.2023]</t>
        </r>
      </text>
    </comment>
    <comment ref="D40" authorId="0" shapeId="0" xr:uid="{1D95432B-9E84-4D16-B480-3D7F7E833DD9}">
      <text>
        <r>
          <rPr>
            <sz val="9"/>
            <color indexed="81"/>
            <rFont val="Tahoma"/>
            <family val="2"/>
          </rPr>
          <t>1200 in 2018 [ICIS]</t>
        </r>
      </text>
    </comment>
    <comment ref="J40" authorId="2" shapeId="0" xr:uid="{00000000-0006-0000-0B00-000051000000}">
      <text>
        <r>
          <rPr>
            <sz val="11"/>
            <color theme="1"/>
            <rFont val="Calibri"/>
            <family val="2"/>
            <scheme val="minor"/>
          </rPr>
          <t>1000 $/ton in 2019
[CRM factsheets 2020]</t>
        </r>
      </text>
    </comment>
    <comment ref="J41" authorId="1" shapeId="0" xr:uid="{00000000-0006-0000-0B00-000053000000}">
      <text>
        <r>
          <rPr>
            <sz val="11"/>
            <color theme="1"/>
            <rFont val="Calibri"/>
            <family val="2"/>
            <scheme val="minor"/>
          </rPr>
          <t>79.43 -98.21 USD/kg [https://www.metal.com/Bismuth-Selenium-Tellurium/202211140001; Consulted 03.05.2023]</t>
        </r>
      </text>
    </comment>
    <comment ref="D42" authorId="0" shapeId="0" xr:uid="{5E2D1683-BFC7-4E3F-81DF-9CC530704FA5}">
      <text>
        <r>
          <rPr>
            <sz val="9"/>
            <color indexed="81"/>
            <rFont val="Tahoma"/>
            <family val="2"/>
          </rPr>
          <t>Average 2022 - 537
Average 2021: 425
[https://www.methanex.com/our-business/pricing]
332 average 2010-2019 [ICIS]</t>
        </r>
      </text>
    </comment>
    <comment ref="J42" authorId="2" shapeId="0" xr:uid="{00000000-0006-0000-0B00-000055000000}">
      <text>
        <r>
          <rPr>
            <sz val="11"/>
            <color theme="1"/>
            <rFont val="Calibri"/>
            <family val="2"/>
            <scheme val="minor"/>
          </rPr>
          <t>2600 $/ton in 2017
[CRM factsheets 2020]</t>
        </r>
      </text>
    </comment>
    <comment ref="J43" authorId="2" shapeId="0" xr:uid="{00000000-0006-0000-0B00-000056000000}">
      <text>
        <r>
          <rPr>
            <sz val="11"/>
            <color theme="1"/>
            <rFont val="Calibri"/>
            <family val="2"/>
            <scheme val="minor"/>
          </rPr>
          <t>645000 - 840000 $/ton in 2023 [Daily metal prices]</t>
        </r>
      </text>
    </comment>
    <comment ref="J44" authorId="2" shapeId="0" xr:uid="{00000000-0006-0000-0B00-000057000000}">
      <text>
        <r>
          <rPr>
            <sz val="11"/>
            <color theme="1"/>
            <rFont val="Calibri"/>
            <family val="2"/>
            <scheme val="minor"/>
          </rPr>
          <t>400-500 $/ton in 2018 (not sure of the prices)
[CRM factsheets 2020]</t>
        </r>
      </text>
    </comment>
    <comment ref="D45" authorId="0" shapeId="0" xr:uid="{812B7188-FCFA-4621-9941-25EA8F3B7670}">
      <text>
        <r>
          <rPr>
            <sz val="9"/>
            <color indexed="81"/>
            <rFont val="Tahoma"/>
            <family val="2"/>
          </rPr>
          <t>1400-1500 in 2018 [ICIS]</t>
        </r>
      </text>
    </comment>
    <comment ref="J45" authorId="2" shapeId="0" xr:uid="{00000000-0006-0000-0B00-00005A000000}">
      <text>
        <r>
          <rPr>
            <sz val="11"/>
            <color theme="1"/>
            <rFont val="Calibri"/>
            <family val="2"/>
            <scheme val="minor"/>
          </rPr>
          <t>270 $/kg in 2018 (Ta2O5)
[CRM factsheets 2020]</t>
        </r>
      </text>
    </comment>
    <comment ref="D46" authorId="0" shapeId="0" xr:uid="{13AC7E27-4605-4AC1-BB1C-D72F700EA161}">
      <text>
        <r>
          <rPr>
            <sz val="9"/>
            <color indexed="81"/>
            <rFont val="Tahoma"/>
            <family val="2"/>
          </rPr>
          <t>550-750 [ICIS]</t>
        </r>
      </text>
    </comment>
    <comment ref="J46" authorId="2" shapeId="0" xr:uid="{00000000-0006-0000-0B00-00005D000000}">
      <text>
        <r>
          <rPr>
            <sz val="11"/>
            <color theme="1"/>
            <rFont val="Calibri"/>
            <family val="2"/>
            <scheme val="minor"/>
          </rPr>
          <t>22175 - 32000 $/ton in 2023 [London metal exchange]</t>
        </r>
      </text>
    </comment>
    <comment ref="D47" authorId="5" shapeId="0" xr:uid="{3FE101E2-BFE6-4F12-9196-71578ACF2181}">
      <text>
        <r>
          <rPr>
            <sz val="11"/>
            <color theme="1"/>
            <rFont val="Calibri"/>
            <family val="2"/>
            <scheme val="minor"/>
          </rPr>
          <t>1754 $/ton (1610 €/ton) [ChemAnalyst, 2023]</t>
        </r>
      </text>
    </comment>
    <comment ref="J47" authorId="2" shapeId="0" xr:uid="{00000000-0006-0000-0B00-00005F000000}">
      <text>
        <r>
          <rPr>
            <sz val="11"/>
            <color theme="1"/>
            <rFont val="Calibri"/>
            <family val="2"/>
            <scheme val="minor"/>
          </rPr>
          <t>4000-5000 $/ton in 2019
[CRM factsheets 2020]</t>
        </r>
      </text>
    </comment>
    <comment ref="J48" authorId="2" shapeId="0" xr:uid="{00000000-0006-0000-0B00-000060000000}">
      <text>
        <r>
          <rPr>
            <sz val="11"/>
            <color theme="1"/>
            <rFont val="Calibri"/>
            <family val="2"/>
            <scheme val="minor"/>
          </rPr>
          <t>330 $/mtu in 2018 (mtu = metric ton unit = 10kg)
[CRM factsheets 2020]</t>
        </r>
      </text>
    </comment>
    <comment ref="D49" authorId="5" shapeId="0" xr:uid="{4A683C1F-205E-495B-99FA-9D738388AC21}">
      <text>
        <r>
          <rPr>
            <sz val="11"/>
            <color theme="1"/>
            <rFont val="Calibri"/>
            <family val="2"/>
            <scheme val="minor"/>
          </rPr>
          <t>2$/L (1860 €/ton) [Ashkanani et al., 2020]</t>
        </r>
      </text>
    </comment>
    <comment ref="J49" authorId="2" shapeId="0" xr:uid="{00000000-0006-0000-0B00-000062000000}">
      <text>
        <r>
          <rPr>
            <sz val="11"/>
            <color theme="1"/>
            <rFont val="Calibri"/>
            <family val="2"/>
            <scheme val="minor"/>
          </rPr>
          <t>25-70 $/kg in 2019
[CRM factsheets 2020]</t>
        </r>
      </text>
    </comment>
    <comment ref="D50" authorId="5" shapeId="0" xr:uid="{AF1E9F4D-773F-4C4B-9709-C44773D421A8}">
      <text>
        <r>
          <rPr>
            <sz val="11"/>
            <color theme="1"/>
            <rFont val="Calibri"/>
            <family val="2"/>
            <scheme val="minor"/>
          </rPr>
          <t>672.31-751.24 €/ton [Alibaba]</t>
        </r>
      </text>
    </comment>
    <comment ref="J50" authorId="2" shapeId="0" xr:uid="{00000000-0006-0000-0B00-000064000000}">
      <text>
        <r>
          <rPr>
            <sz val="11"/>
            <color theme="1"/>
            <rFont val="Calibri"/>
            <family val="2"/>
            <scheme val="minor"/>
          </rPr>
          <t>2610 - 3510 $/ton in 2023 [London metal exchange]</t>
        </r>
      </text>
    </comment>
    <comment ref="D51" authorId="1" shapeId="0" xr:uid="{98AB4A7B-647D-446D-B7EF-F87B51CF703E}">
      <text>
        <r>
          <rPr>
            <sz val="11"/>
            <color theme="1"/>
            <rFont val="Calibri"/>
            <family val="2"/>
            <scheme val="minor"/>
          </rPr>
          <t>4475 USD/t [Intratec, 2018 via https://www.intratec.us/chemical-markets/pyridine-price]</t>
        </r>
      </text>
    </comment>
    <comment ref="J51" authorId="1" shapeId="0" xr:uid="{00000000-0006-0000-0B00-000067000000}">
      <text>
        <r>
          <rPr>
            <sz val="11"/>
            <color theme="1"/>
            <rFont val="Calibri"/>
            <family val="2"/>
            <scheme val="minor"/>
          </rPr>
          <t>4,043.91 -4,332.76 USD/t [https://www.metal.com/Other-Minor-Metals/202302020006; consulted 03.04.2023]</t>
        </r>
      </text>
    </comment>
    <comment ref="D52" authorId="3" shapeId="0" xr:uid="{2098CFD2-41CF-40DD-AA3B-7EA80268A206}">
      <text>
        <r>
          <rPr>
            <sz val="11"/>
            <color theme="1"/>
            <rFont val="Calibri"/>
            <family val="2"/>
            <scheme val="minor"/>
          </rPr>
          <t>3000-3500 USD/t [alibaba]</t>
        </r>
      </text>
    </comment>
    <comment ref="D53" authorId="1" shapeId="0" xr:uid="{53C88781-729D-4801-82DE-9A2B1F142471}">
      <text>
        <r>
          <rPr>
            <sz val="11"/>
            <color theme="1"/>
            <rFont val="Calibri"/>
            <family val="2"/>
            <scheme val="minor"/>
          </rPr>
          <t>3200 USD/ton 
ChemAnalyst, 2022</t>
        </r>
      </text>
    </comment>
    <comment ref="D54" authorId="1" shapeId="0" xr:uid="{78DD8C89-C455-44C1-B94E-DB208BD43CDC}">
      <text>
        <r>
          <rPr>
            <sz val="11"/>
            <color theme="1"/>
            <rFont val="Calibri"/>
            <family val="2"/>
            <scheme val="minor"/>
          </rPr>
          <t>2480 USD/MT
ChemAnalyst, 2022</t>
        </r>
      </text>
    </comment>
    <comment ref="D55" authorId="0" shapeId="0" xr:uid="{69715133-6726-4189-A52B-E699AFB7E427}">
      <text>
        <r>
          <rPr>
            <sz val="9"/>
            <color indexed="81"/>
            <rFont val="Tahoma"/>
            <family val="2"/>
          </rPr>
          <t>700-800 in 2019 [ICIS]</t>
        </r>
      </text>
    </comment>
    <comment ref="E56" authorId="0" shapeId="0" xr:uid="{00000000-0006-0000-0B00-00006D000000}">
      <text>
        <r>
          <rPr>
            <sz val="9"/>
            <color indexed="81"/>
            <rFont val="Tahoma"/>
            <family val="2"/>
          </rPr>
          <t>0.000149 kg CO2eq/kg [https://www.gov.uk/government/publications/greenhouse-gas-reporting-conversion-factors-2022]
0.000177 kg CO2 eq./kg [UK Government GHG Conversion Factors for Company Reporting: https://www.gov.uk/government/publications/greenhouse-gas-reporting-conversion-factors-2023]</t>
        </r>
      </text>
    </comment>
    <comment ref="D57" authorId="0" shapeId="0" xr:uid="{823F0035-3E6C-45F9-A500-A6D76444EC67}">
      <text>
        <r>
          <rPr>
            <sz val="9"/>
            <color indexed="81"/>
            <rFont val="Tahoma"/>
            <family val="2"/>
          </rPr>
          <t>650-800 in 2019 [ICIS]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<sst xmlns="http://schemas.openxmlformats.org/spreadsheetml/2006/main" count="1781" uniqueCount="730">
  <si>
    <t xml:space="preserve">Introduction </t>
  </si>
  <si>
    <t xml:space="preserve">Background and purpose of the template </t>
  </si>
  <si>
    <r>
      <t>The goal of the Moonshot program is to support projects that aim at providing solutions that help the (chemical) industry in Flanders to become CO</t>
    </r>
    <r>
      <rPr>
        <vertAlign val="subscript"/>
        <sz val="9"/>
        <color rgb="FF000000"/>
        <rFont val="Verdana"/>
        <family val="2"/>
      </rPr>
      <t>2</t>
    </r>
    <r>
      <rPr>
        <sz val="9"/>
        <color rgb="FF000000"/>
        <rFont val="Verdana"/>
        <family val="2"/>
      </rPr>
      <t xml:space="preserve"> neutral by 2050. 
The goal of this template is to provide guidance in the valorisation and sustainability assessment of Moonshot projects taking the overall Moonshot objective and specific MOT KPIs into account. 
The template and guidelines are based on principles of TEA and LCA, however, are too limited to be used as a full TEA and LCA. The template is obliged during the execution of the approved Moonshot projects and is one of the deliverables that need to be submitted to Vlaio. Mid-term the project, a meeting with the advisory board members needs to be organized to discuss the results of the sustainability assessment. 
The goals are the following: 
I.	To have a substantiated estimate of the economic and climate change impacts with the aim to identify the hot-spots (i.e. understand where the impact is coming from) and with these to update research targets from the proposal phase and define the next steps towards implementation (i.e. technology roadmap and follow-up trajectory); 
II.	To compare the economic and climate change impact with state-of-the-art and emerging technologies; 
III.	To understand the contribution of a project to the specific MOT goals and KPIs;
IV.	To specify what is required for a successful implementation. 
Detailed guidelines are available in the document titled "methodological framework for the sustainability assessment of MOONSHOT initiatives".</t>
    </r>
  </si>
  <si>
    <t>Template developers</t>
  </si>
  <si>
    <t xml:space="preserve">The template and framework are developed by a consortium led by VITO and subcontractors Deloitte, Antwerp University, KU Leuven and Ghent University. 
The template and accompanying sustainability framework are commissioned by Vlaio. </t>
  </si>
  <si>
    <t>Contact information</t>
  </si>
  <si>
    <t xml:space="preserve">For questions related to the template, please use one of the following e-mail addresses: </t>
  </si>
  <si>
    <r>
      <t xml:space="preserve">- Catalisti - </t>
    </r>
    <r>
      <rPr>
        <sz val="9"/>
        <color theme="4"/>
        <rFont val="Verdana"/>
        <family val="2"/>
      </rPr>
      <t>moonshot@catalisti.be</t>
    </r>
  </si>
  <si>
    <t>Legend</t>
  </si>
  <si>
    <t>Worksheets</t>
  </si>
  <si>
    <t>Name</t>
  </si>
  <si>
    <t xml:space="preserve">Description </t>
  </si>
  <si>
    <t>Examples</t>
  </si>
  <si>
    <t>Intro</t>
  </si>
  <si>
    <t xml:space="preserve">Information on background and purpose of template, overview of worksheets and some general agreements. </t>
  </si>
  <si>
    <t>Dashboard results</t>
  </si>
  <si>
    <t xml:space="preserve">A summary of the main results is automatically generated in this dashboard based on the calculations in the other worksheets. </t>
  </si>
  <si>
    <t>Project</t>
  </si>
  <si>
    <t>Add general administrative information on your project.</t>
  </si>
  <si>
    <t xml:space="preserve">Title, budget, partners,… </t>
  </si>
  <si>
    <t>Technology</t>
  </si>
  <si>
    <t xml:space="preserve">Describe your process, the benchmark technologies and the goals and scope of the sustainability assessment. </t>
  </si>
  <si>
    <t xml:space="preserve">Benchmark technologies, advantages of your technology, fit with the value chain and interested companies. </t>
  </si>
  <si>
    <t xml:space="preserve">Market </t>
  </si>
  <si>
    <t>Describe market information for your targetted product(s) and an overview of relevant policy documents.</t>
  </si>
  <si>
    <t xml:space="preserve">Price, production volume, CAGR, applications, link with roadmaps and regulation, link with MOT objective, link with other projects, interaction with companies and valoriation objectives. </t>
  </si>
  <si>
    <t>Pathway definition and results</t>
  </si>
  <si>
    <t xml:space="preserve">On this worksheet an overview of different pathways can be added. Furthermore, (sub)scenarios can be defined that allow to quickly see the impact of changes in defined parameters. Also, an overview of your main findings from the sustainability assessment is added here. </t>
  </si>
  <si>
    <t>Overview of the scenarios, Impact availability of residue heat, subsidies, scale, summary of the results</t>
  </si>
  <si>
    <t xml:space="preserve">Data - technical </t>
  </si>
  <si>
    <t>Add all technical input parameters for your mass and energy balance calculations, including the references. Calculations are performed on the pathway worksheet.</t>
  </si>
  <si>
    <t xml:space="preserve">Yield, energy use, catalyst use, material choices,… </t>
  </si>
  <si>
    <t>Data - economic</t>
  </si>
  <si>
    <t>Add all economic input parameters for your calculations of the economic indicators, including the references. Calculations are performed on the pathway worksheet.</t>
  </si>
  <si>
    <t>CAPEX, OPEX, revenues</t>
  </si>
  <si>
    <t xml:space="preserve">Data - environmental </t>
  </si>
  <si>
    <t>Add all environmental input parameters for your calculations of the environmental impact indicator, including the references (mainly characterization factors). Calculations are performed on the pathway worksheet.</t>
  </si>
  <si>
    <r>
      <rPr>
        <sz val="9"/>
        <color rgb="FFA6A6A6"/>
        <rFont val="Verdana"/>
        <family val="2"/>
      </rPr>
      <t>CO</t>
    </r>
    <r>
      <rPr>
        <vertAlign val="subscript"/>
        <sz val="9"/>
        <color rgb="FFA6A6A6"/>
        <rFont val="Verdana"/>
        <family val="2"/>
      </rPr>
      <t>2</t>
    </r>
    <r>
      <rPr>
        <sz val="9"/>
        <color rgb="FFA6A6A6"/>
        <rFont val="Verdana"/>
        <family val="2"/>
      </rPr>
      <t xml:space="preserve"> impact of electricity in kg CO2-equivalent per kWh</t>
    </r>
  </si>
  <si>
    <t xml:space="preserve">Data - general </t>
  </si>
  <si>
    <t>Add general information that is needed for the calculations that are not fixed values. Calculations are performed on the pathway worksheet.</t>
  </si>
  <si>
    <t>CEPCI, regression function, conversion factors,…</t>
  </si>
  <si>
    <t>1. Pathway</t>
  </si>
  <si>
    <t>PFD, mass and energy balance, economic indicators, environmental indicators</t>
  </si>
  <si>
    <t>Color code used in the template</t>
  </si>
  <si>
    <t>Technological related worksheets and information</t>
  </si>
  <si>
    <t>Economic related worksheets and information</t>
  </si>
  <si>
    <t>Environmental related worksheets and information</t>
  </si>
  <si>
    <t>xxx</t>
  </si>
  <si>
    <t xml:space="preserve">Fixed input values that are used in the calculation sheets. These can be pre-defined values or values provided by the researchers. These values can be varied in the sensitivity analysis. </t>
  </si>
  <si>
    <t xml:space="preserve">Calculated/linked values that are used in the calculation sheets. These cannot be used in the sensitivity analysis as these are dependent on other cells. This color code should not be added on the calculation worksheet.  </t>
  </si>
  <si>
    <t xml:space="preserve">Values that are interesting to know, but that are not used in calculation sheets. Changing these values does not have any effect on the calculations. These values can also not be used in the sensitivity analysis.  </t>
  </si>
  <si>
    <t xml:space="preserve">Cells should not contain any content. </t>
  </si>
  <si>
    <t>Standard formulas</t>
  </si>
  <si>
    <t>To make the models dynamic, some standard formula structures are provided. These formula structures need to be used. 
The bold parts need to be replaced in the formulas. The row number 'xx' in column F, needs to be replaced with the row number where the year is indicated. 
Depreciation: linear depreciation is used in the template.</t>
  </si>
  <si>
    <t>Reinvestment cost</t>
  </si>
  <si>
    <r>
      <t>IF(e_ecolifetime_yr=</t>
    </r>
    <r>
      <rPr>
        <b/>
        <sz val="9"/>
        <color theme="1"/>
        <rFont val="Verdana"/>
        <family val="2"/>
      </rPr>
      <t>lifetime installation</t>
    </r>
    <r>
      <rPr>
        <sz val="9"/>
        <color theme="1"/>
        <rFont val="Verdana"/>
        <family val="2"/>
      </rPr>
      <t>;0;IF(F</t>
    </r>
    <r>
      <rPr>
        <b/>
        <sz val="9"/>
        <color theme="1"/>
        <rFont val="Verdana"/>
        <family val="2"/>
      </rPr>
      <t>xx</t>
    </r>
    <r>
      <rPr>
        <sz val="9"/>
        <color theme="1"/>
        <rFont val="Verdana"/>
        <family val="2"/>
      </rPr>
      <t>&gt;=e_ecolifetime_yr;0;IF(ROUNDDOWN((F</t>
    </r>
    <r>
      <rPr>
        <b/>
        <sz val="9"/>
        <color theme="1"/>
        <rFont val="Verdana"/>
        <family val="2"/>
      </rPr>
      <t>xx</t>
    </r>
    <r>
      <rPr>
        <sz val="9"/>
        <color theme="1"/>
        <rFont val="Verdana"/>
        <family val="2"/>
      </rPr>
      <t>/</t>
    </r>
    <r>
      <rPr>
        <b/>
        <sz val="9"/>
        <color theme="1"/>
        <rFont val="Verdana"/>
        <family val="2"/>
      </rPr>
      <t>lifetime installation</t>
    </r>
    <r>
      <rPr>
        <sz val="9"/>
        <color theme="1"/>
        <rFont val="Verdana"/>
        <family val="2"/>
      </rPr>
      <t>);0)=(F</t>
    </r>
    <r>
      <rPr>
        <b/>
        <sz val="9"/>
        <color theme="1"/>
        <rFont val="Verdana"/>
        <family val="2"/>
      </rPr>
      <t>xx</t>
    </r>
    <r>
      <rPr>
        <sz val="9"/>
        <color theme="1"/>
        <rFont val="Verdana"/>
        <family val="2"/>
      </rPr>
      <t>/</t>
    </r>
    <r>
      <rPr>
        <b/>
        <sz val="9"/>
        <color theme="1"/>
        <rFont val="Verdana"/>
        <family val="2"/>
      </rPr>
      <t>lifetime installation</t>
    </r>
    <r>
      <rPr>
        <sz val="9"/>
        <color theme="1"/>
        <rFont val="Verdana"/>
        <family val="2"/>
      </rPr>
      <t>);</t>
    </r>
    <r>
      <rPr>
        <b/>
        <sz val="9"/>
        <color theme="1"/>
        <rFont val="Verdana"/>
        <family val="2"/>
      </rPr>
      <t>investment cost formula</t>
    </r>
    <r>
      <rPr>
        <sz val="9"/>
        <color theme="1"/>
        <rFont val="Verdana"/>
        <family val="2"/>
      </rPr>
      <t>;0))</t>
    </r>
  </si>
  <si>
    <t>Operational cost/Revenues</t>
  </si>
  <si>
    <r>
      <t>IF(F</t>
    </r>
    <r>
      <rPr>
        <b/>
        <sz val="9"/>
        <color theme="1"/>
        <rFont val="Verdana"/>
        <family val="2"/>
      </rPr>
      <t>xx</t>
    </r>
    <r>
      <rPr>
        <sz val="9"/>
        <color theme="1"/>
        <rFont val="Verdana"/>
        <family val="2"/>
      </rPr>
      <t>&gt;e_ecolifetime_yr;0;</t>
    </r>
    <r>
      <rPr>
        <b/>
        <sz val="9"/>
        <color theme="1"/>
        <rFont val="Verdana"/>
        <family val="2"/>
      </rPr>
      <t>formula OPEX/revenues</t>
    </r>
    <r>
      <rPr>
        <sz val="9"/>
        <color theme="1"/>
        <rFont val="Verdana"/>
        <family val="2"/>
      </rPr>
      <t>)</t>
    </r>
  </si>
  <si>
    <t>Depreciation</t>
  </si>
  <si>
    <r>
      <t>IF(F</t>
    </r>
    <r>
      <rPr>
        <b/>
        <sz val="9"/>
        <color theme="1"/>
        <rFont val="Verdana"/>
        <family val="2"/>
      </rPr>
      <t>xx</t>
    </r>
    <r>
      <rPr>
        <sz val="9"/>
        <color theme="1"/>
        <rFont val="Verdana"/>
        <family val="2"/>
      </rPr>
      <t>&gt;e_ecolifetime_yr;0;</t>
    </r>
    <r>
      <rPr>
        <b/>
        <sz val="9"/>
        <color theme="1"/>
        <rFont val="Verdana"/>
        <family val="2"/>
      </rPr>
      <t>investment installation</t>
    </r>
    <r>
      <rPr>
        <sz val="9"/>
        <color theme="1"/>
        <rFont val="Verdana"/>
        <family val="2"/>
      </rPr>
      <t>/</t>
    </r>
    <r>
      <rPr>
        <b/>
        <sz val="9"/>
        <color theme="1"/>
        <rFont val="Verdana"/>
        <family val="2"/>
      </rPr>
      <t>lifetime installation</t>
    </r>
    <r>
      <rPr>
        <sz val="9"/>
        <color theme="1"/>
        <rFont val="Verdana"/>
        <family val="2"/>
      </rPr>
      <t>)</t>
    </r>
  </si>
  <si>
    <t>Disclaimer</t>
  </si>
  <si>
    <t>Project sheet</t>
  </si>
  <si>
    <t>Project acronym</t>
  </si>
  <si>
    <t>e.g.</t>
  </si>
  <si>
    <t>Full title</t>
  </si>
  <si>
    <t>Example template</t>
  </si>
  <si>
    <t>Project number</t>
  </si>
  <si>
    <t>-</t>
  </si>
  <si>
    <t>Start date</t>
  </si>
  <si>
    <t>Project duration (months)</t>
  </si>
  <si>
    <t>Total budget (€)</t>
  </si>
  <si>
    <t>Total number of person-months</t>
  </si>
  <si>
    <t>Lead partner (coordinator)</t>
  </si>
  <si>
    <t>VITO</t>
  </si>
  <si>
    <t>Other consortium partners</t>
  </si>
  <si>
    <t>Deloitte, UGent, UA, KUL</t>
  </si>
  <si>
    <t>Contact information coordinator</t>
  </si>
  <si>
    <t>moonshot.sustainabilityframework@vito.be</t>
  </si>
  <si>
    <t xml:space="preserve">Version </t>
  </si>
  <si>
    <t>Date</t>
  </si>
  <si>
    <t xml:space="preserve">Technology description </t>
  </si>
  <si>
    <t>Targeted product(s)</t>
  </si>
  <si>
    <t>Hydrogen</t>
  </si>
  <si>
    <t>Process description</t>
  </si>
  <si>
    <t xml:space="preserve">Hydrogen is produced via a water electrolyzer (alkaline or PEM). Electricity is used to split water into hydrogen and oxygen. </t>
  </si>
  <si>
    <t>Benchmark technologies</t>
  </si>
  <si>
    <t>Benchmark process</t>
  </si>
  <si>
    <t>TRL</t>
  </si>
  <si>
    <t>Description</t>
  </si>
  <si>
    <t>Position of new technology compared to benchmark process</t>
  </si>
  <si>
    <t>Steam reforming of methane</t>
  </si>
  <si>
    <t>Purpose of the sustainability assessment</t>
  </si>
  <si>
    <t xml:space="preserve">Describe the specific purpose that you have defined for the sustainability impact calculation. </t>
  </si>
  <si>
    <t xml:space="preserve">Assess the economic and environmental impact of producing hydrogen with the water electrolysis process (either alkaline or PEM) compared to the benchmark process. </t>
  </si>
  <si>
    <t>Geographical scope</t>
  </si>
  <si>
    <t>Flanders</t>
  </si>
  <si>
    <t>Temporal scope</t>
  </si>
  <si>
    <t>System boundaries</t>
  </si>
  <si>
    <t>Select option below</t>
  </si>
  <si>
    <t>Explain choice</t>
  </si>
  <si>
    <t>Cradle-to-gate</t>
  </si>
  <si>
    <t xml:space="preserve">The use phase and other downstream steps in the value chain are the same as for the conventional production of hydrogen. </t>
  </si>
  <si>
    <t>Functional unit (FU)</t>
  </si>
  <si>
    <t xml:space="preserve">1 ton of hydrogen is selected as the functional unit as the benchmark process also produced hydrogen with the same characteristics and potential uses. </t>
  </si>
  <si>
    <t>Multifunctionality - methodological choice</t>
  </si>
  <si>
    <t>Describe the methodological choice that is selected in case of a multi-input or multi-ouput system</t>
  </si>
  <si>
    <t xml:space="preserve">Allocation based on substitution will be applied to oxygen. </t>
  </si>
  <si>
    <t xml:space="preserve">Market description </t>
  </si>
  <si>
    <t xml:space="preserve">How does the current market of your targeted product look like? </t>
  </si>
  <si>
    <t>Targeted product 1</t>
  </si>
  <si>
    <t>Global production (ton/yr)</t>
  </si>
  <si>
    <t>Belgian production (ton/yr)</t>
  </si>
  <si>
    <t xml:space="preserve">Global demand (ton/yr) </t>
  </si>
  <si>
    <t xml:space="preserve">Targeted market share </t>
  </si>
  <si>
    <t>CAGR (%)</t>
  </si>
  <si>
    <t>Main market players</t>
  </si>
  <si>
    <t>Main market players Flanders</t>
  </si>
  <si>
    <t>Price (€/ton)</t>
  </si>
  <si>
    <t>Main application(s)</t>
  </si>
  <si>
    <t>Targeted application(s)</t>
  </si>
  <si>
    <t>Main production technology</t>
  </si>
  <si>
    <t>Varia</t>
  </si>
  <si>
    <t>Targeted product 2</t>
  </si>
  <si>
    <t>Oxygen</t>
  </si>
  <si>
    <t>Relevant regulations/Policy measures</t>
  </si>
  <si>
    <t xml:space="preserve">Which regulations or policy measures can impact (both positive or negative) your innovation?  </t>
  </si>
  <si>
    <t>Regulation/Policy measure</t>
  </si>
  <si>
    <t>Description/relevancy for the project</t>
  </si>
  <si>
    <t>Vlaamse waterstofvisie</t>
  </si>
  <si>
    <t>Vlaanderen heeft de ambitie om Europese koploper te worden in de waterstoftechnologie en stelt daarbij vijf strategische doelstellingen naar voren.</t>
  </si>
  <si>
    <t xml:space="preserve">Pathway 1 </t>
  </si>
  <si>
    <t>Hydrogen production using a water electrolyser</t>
  </si>
  <si>
    <t>Pathway 2</t>
  </si>
  <si>
    <t>Pathway 3</t>
  </si>
  <si>
    <t xml:space="preserve">Pathway 4 </t>
  </si>
  <si>
    <t>Scale</t>
  </si>
  <si>
    <t>Unit</t>
  </si>
  <si>
    <t xml:space="preserve">Electricity input </t>
  </si>
  <si>
    <t>MWh/yr</t>
  </si>
  <si>
    <t>Installed capacity</t>
  </si>
  <si>
    <t>MW</t>
  </si>
  <si>
    <t>What-if parameter</t>
  </si>
  <si>
    <t xml:space="preserve">Start of calculation - installed capacity </t>
  </si>
  <si>
    <t>Electrolyzer type - Alkaline</t>
  </si>
  <si>
    <t>Oxygen sale</t>
  </si>
  <si>
    <t xml:space="preserve">Use renewable energy </t>
  </si>
  <si>
    <t xml:space="preserve">Results </t>
  </si>
  <si>
    <t>Parameter</t>
  </si>
  <si>
    <t>Input</t>
  </si>
  <si>
    <t>Water</t>
  </si>
  <si>
    <t>m³/yr</t>
  </si>
  <si>
    <t>Electricity</t>
  </si>
  <si>
    <t>Output</t>
  </si>
  <si>
    <t>Annual hydrogen production</t>
  </si>
  <si>
    <t>ton/yr</t>
  </si>
  <si>
    <t>Annual oxygen production</t>
  </si>
  <si>
    <t>Technical indicators</t>
  </si>
  <si>
    <t>Recycled content</t>
  </si>
  <si>
    <t>Renewable content</t>
  </si>
  <si>
    <t>Reuse rate</t>
  </si>
  <si>
    <t>Recycling rate</t>
  </si>
  <si>
    <t>Recycling output rate</t>
  </si>
  <si>
    <t>Share of renewable energy</t>
  </si>
  <si>
    <t>Investment cost (total)</t>
  </si>
  <si>
    <t>€</t>
  </si>
  <si>
    <t>Operational cost (total)</t>
  </si>
  <si>
    <t>€/yr</t>
  </si>
  <si>
    <t>Revenues (total)</t>
  </si>
  <si>
    <t>NPV</t>
  </si>
  <si>
    <t>IRR</t>
  </si>
  <si>
    <t>%</t>
  </si>
  <si>
    <t>PBP</t>
  </si>
  <si>
    <t>yr</t>
  </si>
  <si>
    <t>DPBP</t>
  </si>
  <si>
    <t>Total manufacturing cost</t>
  </si>
  <si>
    <t>Levelized cost of product</t>
  </si>
  <si>
    <t>CAPEX</t>
  </si>
  <si>
    <t>OPEX</t>
  </si>
  <si>
    <t>Climate change impact</t>
  </si>
  <si>
    <r>
      <t>CO</t>
    </r>
    <r>
      <rPr>
        <vertAlign val="subscript"/>
        <sz val="9"/>
        <color theme="1"/>
        <rFont val="Verdana"/>
        <family val="2"/>
      </rPr>
      <t>2</t>
    </r>
    <r>
      <rPr>
        <sz val="9"/>
        <color theme="1"/>
        <rFont val="Verdana"/>
        <family val="2"/>
      </rPr>
      <t xml:space="preserve"> avoided</t>
    </r>
  </si>
  <si>
    <t>Carbon abatement cost</t>
  </si>
  <si>
    <t>Main limitations calculations</t>
  </si>
  <si>
    <t>Describe the main limitations of your calculations here. For example the system boundaries like not considering the cost of certain auxiliary products or costs for waste management or downstream processing.</t>
  </si>
  <si>
    <t xml:space="preserve">We didn't include the option of flexible operation of the system in this simplified example. </t>
  </si>
  <si>
    <t xml:space="preserve">Main conclusions economic feasibility </t>
  </si>
  <si>
    <t xml:space="preserve">Describe the main conclusions from the economic calculations as well as the research targets that need to be met. </t>
  </si>
  <si>
    <t xml:space="preserve">Main conclusions climate change impact </t>
  </si>
  <si>
    <t xml:space="preserve">Describe the main conclusions from the environmental calculations. </t>
  </si>
  <si>
    <t xml:space="preserve">Other environmental impacts than climate change (optional) </t>
  </si>
  <si>
    <t>Describe other environmental impacts that might be important for the project under evaluation and its future development and implementation</t>
  </si>
  <si>
    <t>Contribution to the MOT KPIs and goals</t>
  </si>
  <si>
    <t xml:space="preserve">Describe the main conclusions on the contribution to the MOT KPIs and goals. </t>
  </si>
  <si>
    <t>Technical data inventory</t>
  </si>
  <si>
    <t>Indicative value</t>
  </si>
  <si>
    <t>Range</t>
  </si>
  <si>
    <t>Data type</t>
  </si>
  <si>
    <t>Raw material extraction/feedstock</t>
  </si>
  <si>
    <t xml:space="preserve">Feedstock x </t>
  </si>
  <si>
    <t>Mass In</t>
  </si>
  <si>
    <t xml:space="preserve">Electricity </t>
  </si>
  <si>
    <t>Processing</t>
  </si>
  <si>
    <t>Electrolyser (PEM)</t>
  </si>
  <si>
    <t>Water use</t>
  </si>
  <si>
    <r>
      <t>L/m³ H</t>
    </r>
    <r>
      <rPr>
        <vertAlign val="subscript"/>
        <sz val="9"/>
        <color theme="1"/>
        <rFont val="Verdana"/>
        <family val="2"/>
      </rPr>
      <t>2</t>
    </r>
  </si>
  <si>
    <t>Mass Out</t>
  </si>
  <si>
    <t>Oxygen production</t>
  </si>
  <si>
    <t>Nm³/kWh</t>
  </si>
  <si>
    <t>Waste water</t>
  </si>
  <si>
    <r>
      <t>L/Nm³ H</t>
    </r>
    <r>
      <rPr>
        <vertAlign val="subscript"/>
        <sz val="9"/>
        <color theme="1"/>
        <rFont val="Verdana"/>
        <family val="2"/>
      </rPr>
      <t>2</t>
    </r>
  </si>
  <si>
    <t>Cooling water use</t>
  </si>
  <si>
    <r>
      <t>m³/Nm³ H</t>
    </r>
    <r>
      <rPr>
        <vertAlign val="subscript"/>
        <sz val="9"/>
        <color theme="1"/>
        <rFont val="Verdana"/>
        <family val="2"/>
      </rPr>
      <t>2</t>
    </r>
  </si>
  <si>
    <t>Energy</t>
  </si>
  <si>
    <t>Electricity use</t>
  </si>
  <si>
    <r>
      <t>kWh/m³ H</t>
    </r>
    <r>
      <rPr>
        <vertAlign val="subscript"/>
        <sz val="9"/>
        <color theme="1"/>
        <rFont val="Verdana"/>
        <family val="2"/>
      </rPr>
      <t>2</t>
    </r>
  </si>
  <si>
    <t>Energy efficiency</t>
  </si>
  <si>
    <t>Process</t>
  </si>
  <si>
    <t xml:space="preserve">Temperature </t>
  </si>
  <si>
    <t>°C</t>
  </si>
  <si>
    <t>Pressure output</t>
  </si>
  <si>
    <t>bar</t>
  </si>
  <si>
    <t>Operating hours</t>
  </si>
  <si>
    <t>hr/yr</t>
  </si>
  <si>
    <t>4000-8000</t>
  </si>
  <si>
    <t>Equipment</t>
  </si>
  <si>
    <t xml:space="preserve">Maximum size module </t>
  </si>
  <si>
    <t>kWe</t>
  </si>
  <si>
    <t xml:space="preserve">Land use </t>
  </si>
  <si>
    <t>m²/MW</t>
  </si>
  <si>
    <t xml:space="preserve">Waste </t>
  </si>
  <si>
    <t>Waste water treatment system</t>
  </si>
  <si>
    <t xml:space="preserve"> </t>
  </si>
  <si>
    <t>Emissions</t>
  </si>
  <si>
    <t>Transport</t>
  </si>
  <si>
    <t>Electrolyser (Alkaline)</t>
  </si>
  <si>
    <t>KOH use</t>
  </si>
  <si>
    <t>negligible</t>
  </si>
  <si>
    <t>Recirculation</t>
  </si>
  <si>
    <t>Temperature</t>
  </si>
  <si>
    <t>Post-treatment/DSP</t>
  </si>
  <si>
    <r>
      <t>H</t>
    </r>
    <r>
      <rPr>
        <vertAlign val="subscript"/>
        <sz val="9"/>
        <color theme="1"/>
        <rFont val="Verdana"/>
        <family val="2"/>
      </rPr>
      <t>2</t>
    </r>
    <r>
      <rPr>
        <sz val="9"/>
        <color theme="1"/>
        <rFont val="Verdana"/>
        <family val="2"/>
      </rPr>
      <t xml:space="preserve"> compression</t>
    </r>
  </si>
  <si>
    <r>
      <t>kWh/kg H</t>
    </r>
    <r>
      <rPr>
        <vertAlign val="subscript"/>
        <sz val="9"/>
        <color theme="1"/>
        <rFont val="Verdana"/>
        <family val="2"/>
      </rPr>
      <t>2</t>
    </r>
  </si>
  <si>
    <t>Pressure out</t>
  </si>
  <si>
    <t>Waste</t>
  </si>
  <si>
    <r>
      <t>H</t>
    </r>
    <r>
      <rPr>
        <vertAlign val="subscript"/>
        <sz val="9"/>
        <color theme="1"/>
        <rFont val="Verdana"/>
        <family val="2"/>
      </rPr>
      <t>2</t>
    </r>
    <r>
      <rPr>
        <sz val="9"/>
        <color theme="1"/>
        <rFont val="Verdana"/>
        <family val="2"/>
      </rPr>
      <t xml:space="preserve"> storage</t>
    </r>
  </si>
  <si>
    <t>Storage hours</t>
  </si>
  <si>
    <t>hr</t>
  </si>
  <si>
    <t>Storage pressure</t>
  </si>
  <si>
    <t xml:space="preserve"> bar</t>
  </si>
  <si>
    <t>Maximum storage capacity tube trailer</t>
  </si>
  <si>
    <t>kg</t>
  </si>
  <si>
    <t>Economic data inventory</t>
  </si>
  <si>
    <t>Financial</t>
  </si>
  <si>
    <t>Nominal discount rate</t>
  </si>
  <si>
    <t>10-30</t>
  </si>
  <si>
    <t>Real discount rate</t>
  </si>
  <si>
    <t>Equity (EV)</t>
  </si>
  <si>
    <t>Debt (VV)</t>
  </si>
  <si>
    <t>Intrest rate (loan)</t>
  </si>
  <si>
    <t>Inflation rate</t>
  </si>
  <si>
    <t>WACC</t>
  </si>
  <si>
    <t>Corporate tax rate Belgium</t>
  </si>
  <si>
    <t>Economic Lifetime/Evaluation period</t>
  </si>
  <si>
    <t>10-20</t>
  </si>
  <si>
    <t>General capital costs</t>
  </si>
  <si>
    <t>Lang factor</t>
  </si>
  <si>
    <t>Solid processing plant</t>
  </si>
  <si>
    <t>Solid-fluid processing plant</t>
  </si>
  <si>
    <t xml:space="preserve">Fluid processing plant </t>
  </si>
  <si>
    <t>Ratio factors</t>
  </si>
  <si>
    <t>Installation</t>
  </si>
  <si>
    <t>%direct equipment</t>
  </si>
  <si>
    <t>39-47</t>
  </si>
  <si>
    <t>Instrumentation and controls</t>
  </si>
  <si>
    <t>18-36</t>
  </si>
  <si>
    <t>Piping</t>
  </si>
  <si>
    <t>16-68</t>
  </si>
  <si>
    <t>Electrical systems</t>
  </si>
  <si>
    <t>10-11</t>
  </si>
  <si>
    <t>Buildings</t>
  </si>
  <si>
    <t>18-29</t>
  </si>
  <si>
    <t>Yard improvements</t>
  </si>
  <si>
    <t>10-15</t>
  </si>
  <si>
    <t>Service facilities</t>
  </si>
  <si>
    <t>40-70</t>
  </si>
  <si>
    <t>Engineering and supervision</t>
  </si>
  <si>
    <t>32-33</t>
  </si>
  <si>
    <t>Construction expenses</t>
  </si>
  <si>
    <t>34-41</t>
  </si>
  <si>
    <t>Legal expenses</t>
  </si>
  <si>
    <t xml:space="preserve">Contractor's fee </t>
  </si>
  <si>
    <t>17-22</t>
  </si>
  <si>
    <t>Contingency</t>
  </si>
  <si>
    <t>35-44</t>
  </si>
  <si>
    <t xml:space="preserve">Working capital </t>
  </si>
  <si>
    <t>70-89</t>
  </si>
  <si>
    <t>Total</t>
  </si>
  <si>
    <t>General operational costs</t>
  </si>
  <si>
    <t>Wage rate personnel</t>
  </si>
  <si>
    <t>€/hr</t>
  </si>
  <si>
    <t>Insurance cost</t>
  </si>
  <si>
    <r>
      <t>%I</t>
    </r>
    <r>
      <rPr>
        <vertAlign val="subscript"/>
        <sz val="9"/>
        <color theme="1"/>
        <rFont val="Verdana"/>
        <family val="2"/>
      </rPr>
      <t>0</t>
    </r>
  </si>
  <si>
    <t>Maintenance and repair cost</t>
  </si>
  <si>
    <t>Overhead cost</t>
  </si>
  <si>
    <t>%labor and maintenance cost</t>
  </si>
  <si>
    <t>Laboratory expenses</t>
  </si>
  <si>
    <t>%operating labor</t>
  </si>
  <si>
    <t>Supervision</t>
  </si>
  <si>
    <t>Electricity purchase cost BE - grid (today)</t>
  </si>
  <si>
    <t>€/MWh</t>
  </si>
  <si>
    <t>121-295</t>
  </si>
  <si>
    <t>Share of renewable energy in grid mix (today)</t>
  </si>
  <si>
    <t>Electricity purchase cost BE - grid (2050)</t>
  </si>
  <si>
    <t>Share of renewable energy in grid mix (2050)</t>
  </si>
  <si>
    <t>Electricity purchase cost BE - renewables (today)</t>
  </si>
  <si>
    <t>Electricity purchase cost BE - renewables (2050)</t>
  </si>
  <si>
    <t>Natural gas purchase cost</t>
  </si>
  <si>
    <t>41-74</t>
  </si>
  <si>
    <t>Steam cost</t>
  </si>
  <si>
    <t>€/ton</t>
  </si>
  <si>
    <t>20-30</t>
  </si>
  <si>
    <t>Solvent</t>
  </si>
  <si>
    <t>Make selection</t>
  </si>
  <si>
    <t>Other solvent not in dropdown list</t>
  </si>
  <si>
    <t xml:space="preserve">(Catalyst) material </t>
  </si>
  <si>
    <t>Other material not in dropdown list</t>
  </si>
  <si>
    <t>Waste 1</t>
  </si>
  <si>
    <t>Wastewater treatment cost</t>
  </si>
  <si>
    <t>€/m³</t>
  </si>
  <si>
    <t>1-6</t>
  </si>
  <si>
    <t>Revenues</t>
  </si>
  <si>
    <t>General</t>
  </si>
  <si>
    <t>Profit margin</t>
  </si>
  <si>
    <t>3-10</t>
  </si>
  <si>
    <t>Targeted product</t>
  </si>
  <si>
    <t>Current market price Hydrogen</t>
  </si>
  <si>
    <t>€/kg</t>
  </si>
  <si>
    <t>Market price green hydrogen</t>
  </si>
  <si>
    <t>Byproduct</t>
  </si>
  <si>
    <t>25-70</t>
  </si>
  <si>
    <t>Raw material extraction</t>
  </si>
  <si>
    <t xml:space="preserve">Technology x </t>
  </si>
  <si>
    <t xml:space="preserve">Investment cost </t>
  </si>
  <si>
    <t>Lifetime</t>
  </si>
  <si>
    <t>Technology x</t>
  </si>
  <si>
    <t>€/kW</t>
  </si>
  <si>
    <t>Investment cost stack</t>
  </si>
  <si>
    <t>% total cost</t>
  </si>
  <si>
    <t>Lifetime electrolyser</t>
  </si>
  <si>
    <t>Lifetime stack</t>
  </si>
  <si>
    <t>Operational costs</t>
  </si>
  <si>
    <r>
      <t>€/kg H</t>
    </r>
    <r>
      <rPr>
        <vertAlign val="subscript"/>
        <sz val="9"/>
        <color theme="1"/>
        <rFont val="Verdana"/>
        <family val="2"/>
      </rPr>
      <t>2</t>
    </r>
    <r>
      <rPr>
        <sz val="9"/>
        <color theme="1"/>
        <rFont val="Verdana"/>
        <family val="2"/>
      </rPr>
      <t>.hr</t>
    </r>
  </si>
  <si>
    <t>Environmental data inventory</t>
  </si>
  <si>
    <t>Characterization factors</t>
  </si>
  <si>
    <t>Greenhouse gases (GHG)</t>
  </si>
  <si>
    <r>
      <t>CO</t>
    </r>
    <r>
      <rPr>
        <vertAlign val="subscript"/>
        <sz val="9"/>
        <color theme="1"/>
        <rFont val="Verdana"/>
        <family val="2"/>
      </rPr>
      <t>2</t>
    </r>
    <r>
      <rPr>
        <sz val="9"/>
        <color theme="1"/>
        <rFont val="Verdana"/>
        <family val="2"/>
      </rPr>
      <t xml:space="preserve"> (fossil-origin)</t>
    </r>
  </si>
  <si>
    <r>
      <t>kg CO</t>
    </r>
    <r>
      <rPr>
        <vertAlign val="subscript"/>
        <sz val="9"/>
        <color theme="1"/>
        <rFont val="Verdana"/>
        <family val="2"/>
      </rPr>
      <t>2eq</t>
    </r>
    <r>
      <rPr>
        <sz val="9"/>
        <color theme="1"/>
        <rFont val="Verdana"/>
        <family val="2"/>
      </rPr>
      <t>/kg CO</t>
    </r>
    <r>
      <rPr>
        <vertAlign val="subscript"/>
        <sz val="9"/>
        <color theme="1"/>
        <rFont val="Verdana"/>
        <family val="2"/>
      </rPr>
      <t>2</t>
    </r>
  </si>
  <si>
    <r>
      <t>CO</t>
    </r>
    <r>
      <rPr>
        <vertAlign val="subscript"/>
        <sz val="9"/>
        <color theme="1"/>
        <rFont val="Verdana"/>
        <family val="2"/>
      </rPr>
      <t>2</t>
    </r>
    <r>
      <rPr>
        <sz val="9"/>
        <color theme="1"/>
        <rFont val="Verdana"/>
        <family val="2"/>
      </rPr>
      <t xml:space="preserve"> (biogenic origin)</t>
    </r>
  </si>
  <si>
    <r>
      <t>CH</t>
    </r>
    <r>
      <rPr>
        <vertAlign val="subscript"/>
        <sz val="9"/>
        <color theme="1"/>
        <rFont val="Verdana"/>
        <family val="2"/>
      </rPr>
      <t>4</t>
    </r>
    <r>
      <rPr>
        <sz val="9"/>
        <color theme="1"/>
        <rFont val="Verdana"/>
        <family val="2"/>
      </rPr>
      <t xml:space="preserve"> </t>
    </r>
  </si>
  <si>
    <r>
      <t>kg CO</t>
    </r>
    <r>
      <rPr>
        <vertAlign val="subscript"/>
        <sz val="9"/>
        <color theme="1"/>
        <rFont val="Verdana"/>
        <family val="2"/>
      </rPr>
      <t>2eq</t>
    </r>
    <r>
      <rPr>
        <sz val="9"/>
        <color theme="1"/>
        <rFont val="Verdana"/>
        <family val="2"/>
      </rPr>
      <t>/kg CH</t>
    </r>
    <r>
      <rPr>
        <vertAlign val="subscript"/>
        <sz val="9"/>
        <color theme="1"/>
        <rFont val="Verdana"/>
        <family val="2"/>
      </rPr>
      <t>4</t>
    </r>
  </si>
  <si>
    <t>25-34</t>
  </si>
  <si>
    <r>
      <t>N</t>
    </r>
    <r>
      <rPr>
        <vertAlign val="subscript"/>
        <sz val="9"/>
        <color theme="1"/>
        <rFont val="Verdana"/>
        <family val="2"/>
      </rPr>
      <t>2</t>
    </r>
    <r>
      <rPr>
        <sz val="9"/>
        <color theme="1"/>
        <rFont val="Verdana"/>
        <family val="2"/>
      </rPr>
      <t>O</t>
    </r>
  </si>
  <si>
    <r>
      <t>kg CO</t>
    </r>
    <r>
      <rPr>
        <vertAlign val="subscript"/>
        <sz val="9"/>
        <color theme="1"/>
        <rFont val="Verdana"/>
        <family val="2"/>
      </rPr>
      <t>2eq</t>
    </r>
    <r>
      <rPr>
        <sz val="9"/>
        <color theme="1"/>
        <rFont val="Verdana"/>
        <family val="2"/>
      </rPr>
      <t>/kg N</t>
    </r>
    <r>
      <rPr>
        <vertAlign val="subscript"/>
        <sz val="9"/>
        <color theme="1"/>
        <rFont val="Verdana"/>
        <family val="2"/>
      </rPr>
      <t>2</t>
    </r>
    <r>
      <rPr>
        <sz val="9"/>
        <color theme="1"/>
        <rFont val="Verdana"/>
        <family val="2"/>
      </rPr>
      <t>O</t>
    </r>
  </si>
  <si>
    <t>HCFC-141b</t>
  </si>
  <si>
    <r>
      <t>kg CO</t>
    </r>
    <r>
      <rPr>
        <vertAlign val="subscript"/>
        <sz val="9"/>
        <color theme="1"/>
        <rFont val="Verdana"/>
        <family val="2"/>
      </rPr>
      <t>2eq</t>
    </r>
    <r>
      <rPr>
        <sz val="9"/>
        <color theme="1"/>
        <rFont val="Verdana"/>
        <family val="2"/>
      </rPr>
      <t>/kg HCFC-141b</t>
    </r>
  </si>
  <si>
    <t>HFC-134a</t>
  </si>
  <si>
    <r>
      <t>kg CO</t>
    </r>
    <r>
      <rPr>
        <vertAlign val="subscript"/>
        <sz val="9"/>
        <color theme="1"/>
        <rFont val="Verdana"/>
        <family val="2"/>
      </rPr>
      <t>2eq</t>
    </r>
    <r>
      <rPr>
        <sz val="9"/>
        <color theme="1"/>
        <rFont val="Verdana"/>
        <family val="2"/>
      </rPr>
      <t>/kg HFC-134a</t>
    </r>
  </si>
  <si>
    <t>HCFC-22</t>
  </si>
  <si>
    <r>
      <t>kg CO</t>
    </r>
    <r>
      <rPr>
        <vertAlign val="subscript"/>
        <sz val="9"/>
        <color theme="1"/>
        <rFont val="Verdana"/>
        <family val="2"/>
      </rPr>
      <t>2eq</t>
    </r>
    <r>
      <rPr>
        <sz val="9"/>
        <color theme="1"/>
        <rFont val="Verdana"/>
        <family val="2"/>
      </rPr>
      <t>/kg HCFC-22</t>
    </r>
  </si>
  <si>
    <t>HCFC-142b</t>
  </si>
  <si>
    <r>
      <t>kg CO</t>
    </r>
    <r>
      <rPr>
        <vertAlign val="subscript"/>
        <sz val="9"/>
        <color theme="1"/>
        <rFont val="Verdana"/>
        <family val="2"/>
      </rPr>
      <t>2eq</t>
    </r>
    <r>
      <rPr>
        <sz val="9"/>
        <color theme="1"/>
        <rFont val="Verdana"/>
        <family val="2"/>
      </rPr>
      <t>/kg HCFC-142b</t>
    </r>
  </si>
  <si>
    <t>CFC-11</t>
  </si>
  <si>
    <r>
      <t>kg CO</t>
    </r>
    <r>
      <rPr>
        <vertAlign val="subscript"/>
        <sz val="9"/>
        <color theme="1"/>
        <rFont val="Verdana"/>
        <family val="2"/>
      </rPr>
      <t>2eq</t>
    </r>
    <r>
      <rPr>
        <sz val="9"/>
        <color theme="1"/>
        <rFont val="Verdana"/>
        <family val="2"/>
      </rPr>
      <t>/kg CFC-11</t>
    </r>
  </si>
  <si>
    <t>CFC-12</t>
  </si>
  <si>
    <r>
      <t>kg CO</t>
    </r>
    <r>
      <rPr>
        <vertAlign val="subscript"/>
        <sz val="9"/>
        <color theme="1"/>
        <rFont val="Verdana"/>
        <family val="2"/>
      </rPr>
      <t>2eq</t>
    </r>
    <r>
      <rPr>
        <sz val="9"/>
        <color theme="1"/>
        <rFont val="Verdana"/>
        <family val="2"/>
      </rPr>
      <t>/kg CFC-12</t>
    </r>
  </si>
  <si>
    <r>
      <t>SF</t>
    </r>
    <r>
      <rPr>
        <vertAlign val="subscript"/>
        <sz val="9"/>
        <color theme="1"/>
        <rFont val="Verdana"/>
        <family val="2"/>
      </rPr>
      <t>6</t>
    </r>
  </si>
  <si>
    <r>
      <t>kg CO</t>
    </r>
    <r>
      <rPr>
        <vertAlign val="subscript"/>
        <sz val="9"/>
        <color theme="1"/>
        <rFont val="Verdana"/>
        <family val="2"/>
      </rPr>
      <t>2eq</t>
    </r>
    <r>
      <rPr>
        <sz val="9"/>
        <color theme="1"/>
        <rFont val="Verdana"/>
        <family val="2"/>
      </rPr>
      <t>/kg SF</t>
    </r>
    <r>
      <rPr>
        <vertAlign val="subscript"/>
        <sz val="9"/>
        <color theme="1"/>
        <rFont val="Verdana"/>
        <family val="2"/>
      </rPr>
      <t>6</t>
    </r>
  </si>
  <si>
    <t>Impact factors</t>
  </si>
  <si>
    <r>
      <t>kg CO</t>
    </r>
    <r>
      <rPr>
        <vertAlign val="subscript"/>
        <sz val="9"/>
        <color rgb="FF000000"/>
        <rFont val="Verdana"/>
        <family val="2"/>
      </rPr>
      <t>2eq</t>
    </r>
    <r>
      <rPr>
        <sz val="9"/>
        <color rgb="FF000000"/>
        <rFont val="Verdana"/>
        <family val="2"/>
      </rPr>
      <t>/kWh</t>
    </r>
  </si>
  <si>
    <t>Electricity BE - grid (2050)</t>
  </si>
  <si>
    <r>
      <t>kg CO</t>
    </r>
    <r>
      <rPr>
        <vertAlign val="subscript"/>
        <sz val="9"/>
        <color theme="1"/>
        <rFont val="Verdana"/>
        <family val="2"/>
      </rPr>
      <t>2eq</t>
    </r>
    <r>
      <rPr>
        <sz val="9"/>
        <color theme="1"/>
        <rFont val="Verdana"/>
        <family val="2"/>
      </rPr>
      <t>/kWh</t>
    </r>
  </si>
  <si>
    <r>
      <t>kg CO</t>
    </r>
    <r>
      <rPr>
        <vertAlign val="subscript"/>
        <sz val="9"/>
        <color theme="1"/>
        <rFont val="Verdana"/>
        <family val="2"/>
      </rPr>
      <t>2eq</t>
    </r>
    <r>
      <rPr>
        <sz val="9"/>
        <color theme="1"/>
        <rFont val="Verdana"/>
        <family val="2"/>
      </rPr>
      <t>/kg</t>
    </r>
  </si>
  <si>
    <t>Natural gas (production)</t>
  </si>
  <si>
    <r>
      <rPr>
        <sz val="9"/>
        <color rgb="FF000000"/>
        <rFont val="Verdana"/>
        <family val="2"/>
      </rPr>
      <t>kg CO</t>
    </r>
    <r>
      <rPr>
        <vertAlign val="subscript"/>
        <sz val="9"/>
        <color rgb="FF000000"/>
        <rFont val="Verdana"/>
        <family val="2"/>
      </rPr>
      <t>2eq</t>
    </r>
    <r>
      <rPr>
        <sz val="9"/>
        <color rgb="FF000000"/>
        <rFont val="Verdana"/>
        <family val="2"/>
      </rPr>
      <t>/kWh</t>
    </r>
  </si>
  <si>
    <t xml:space="preserve">Transport rail </t>
  </si>
  <si>
    <r>
      <rPr>
        <sz val="9"/>
        <color rgb="FF000000"/>
        <rFont val="Verdana"/>
        <family val="2"/>
      </rPr>
      <t>kg CO</t>
    </r>
    <r>
      <rPr>
        <vertAlign val="subscript"/>
        <sz val="9"/>
        <color rgb="FF000000"/>
        <rFont val="Verdana"/>
        <family val="2"/>
      </rPr>
      <t>2eq</t>
    </r>
    <r>
      <rPr>
        <sz val="9"/>
        <color rgb="FF000000"/>
        <rFont val="Verdana"/>
        <family val="2"/>
      </rPr>
      <t>/tkm</t>
    </r>
  </si>
  <si>
    <t>Raw materials</t>
  </si>
  <si>
    <t xml:space="preserve">Secondary material production (recycling) </t>
  </si>
  <si>
    <t>Catalyst</t>
  </si>
  <si>
    <t xml:space="preserve">Waste 1 </t>
  </si>
  <si>
    <t>Waste water treatment</t>
  </si>
  <si>
    <r>
      <t>kg CO</t>
    </r>
    <r>
      <rPr>
        <vertAlign val="subscript"/>
        <sz val="9"/>
        <color theme="1"/>
        <rFont val="Verdana"/>
        <family val="2"/>
      </rPr>
      <t>2eq</t>
    </r>
    <r>
      <rPr>
        <sz val="9"/>
        <color theme="1"/>
        <rFont val="Verdana"/>
        <family val="2"/>
      </rPr>
      <t>/m³</t>
    </r>
  </si>
  <si>
    <t>Incineration - Hazardous waste</t>
  </si>
  <si>
    <t>Byproduct 1</t>
  </si>
  <si>
    <t>Byproduct 2</t>
  </si>
  <si>
    <t xml:space="preserve">Primary material production </t>
  </si>
  <si>
    <t>General data</t>
  </si>
  <si>
    <t>CEPCI</t>
  </si>
  <si>
    <t>Year</t>
  </si>
  <si>
    <t>General conversion factors</t>
  </si>
  <si>
    <t xml:space="preserve">This is just an example. The table can be further extended with other conversion factors that are required for the calculations. </t>
  </si>
  <si>
    <t>Factor</t>
  </si>
  <si>
    <t>Value</t>
  </si>
  <si>
    <t>MWh to kWh</t>
  </si>
  <si>
    <t>General technical parameters</t>
  </si>
  <si>
    <t xml:space="preserve">This is just an example. The table can be further extended with other general technical parameters that are required for the calculations. These are put separate as these are fixed and cannot be changed in a sensitivity analysis. </t>
  </si>
  <si>
    <t xml:space="preserve">Oxygen density </t>
  </si>
  <si>
    <t>kg/m³</t>
  </si>
  <si>
    <t>Water density</t>
  </si>
  <si>
    <t>PFD</t>
  </si>
  <si>
    <t>Electrolyser</t>
  </si>
  <si>
    <t>Compressor</t>
  </si>
  <si>
    <t>Storage</t>
  </si>
  <si>
    <t xml:space="preserve">Technical </t>
  </si>
  <si>
    <t>Unit (per year)</t>
  </si>
  <si>
    <t>Unit per FU</t>
  </si>
  <si>
    <t>Comments</t>
  </si>
  <si>
    <t>Electrolyser PEM</t>
  </si>
  <si>
    <t>Power installation required</t>
  </si>
  <si>
    <t>Number of modules</t>
  </si>
  <si>
    <t>#</t>
  </si>
  <si>
    <t>Power per module</t>
  </si>
  <si>
    <t>kW</t>
  </si>
  <si>
    <t>Water (tap)</t>
  </si>
  <si>
    <t>kg/yr</t>
  </si>
  <si>
    <t>m³/hr</t>
  </si>
  <si>
    <t>Electrolyser Alkaline</t>
  </si>
  <si>
    <r>
      <t>H</t>
    </r>
    <r>
      <rPr>
        <vertAlign val="subscript"/>
        <sz val="9"/>
        <rFont val="Verdana"/>
        <family val="2"/>
      </rPr>
      <t xml:space="preserve">2 </t>
    </r>
    <r>
      <rPr>
        <sz val="9"/>
        <rFont val="Verdana"/>
        <family val="2"/>
      </rPr>
      <t>compression</t>
    </r>
  </si>
  <si>
    <t xml:space="preserve">Hydrogen </t>
  </si>
  <si>
    <t>kg/hr</t>
  </si>
  <si>
    <t>Hydrogen pressure</t>
  </si>
  <si>
    <r>
      <t>H</t>
    </r>
    <r>
      <rPr>
        <vertAlign val="subscript"/>
        <sz val="9"/>
        <rFont val="Verdana"/>
        <family val="2"/>
      </rPr>
      <t>2</t>
    </r>
    <r>
      <rPr>
        <sz val="9"/>
        <rFont val="Verdana"/>
        <family val="2"/>
      </rPr>
      <t xml:space="preserve"> storage</t>
    </r>
  </si>
  <si>
    <t>m³</t>
  </si>
  <si>
    <t>Number of tube trailers required</t>
  </si>
  <si>
    <t>Economic</t>
  </si>
  <si>
    <t>year</t>
  </si>
  <si>
    <t>Group</t>
  </si>
  <si>
    <t>Investment</t>
  </si>
  <si>
    <t>Stack replacement</t>
  </si>
  <si>
    <t>Reinvestment</t>
  </si>
  <si>
    <t>Electrolyser alkaline</t>
  </si>
  <si>
    <r>
      <t>H</t>
    </r>
    <r>
      <rPr>
        <vertAlign val="subscript"/>
        <sz val="9"/>
        <color theme="1"/>
        <rFont val="Verdana"/>
        <family val="2"/>
      </rPr>
      <t>2</t>
    </r>
    <r>
      <rPr>
        <sz val="9"/>
        <color theme="1"/>
        <rFont val="Verdana"/>
        <family val="2"/>
      </rPr>
      <t xml:space="preserve"> compressor</t>
    </r>
  </si>
  <si>
    <t>Operational cost</t>
  </si>
  <si>
    <t>Insurance</t>
  </si>
  <si>
    <t>Maintenance and repair</t>
  </si>
  <si>
    <t>Labor</t>
  </si>
  <si>
    <t>Overhead</t>
  </si>
  <si>
    <t>KOH</t>
  </si>
  <si>
    <t>Subsidies</t>
  </si>
  <si>
    <t>Cash flow</t>
  </si>
  <si>
    <t>Depreciation cost</t>
  </si>
  <si>
    <t>Total depreciation</t>
  </si>
  <si>
    <t>Interest loan</t>
  </si>
  <si>
    <t xml:space="preserve">Down payment loan </t>
  </si>
  <si>
    <t>Taxable base</t>
  </si>
  <si>
    <t>CF before taxes</t>
  </si>
  <si>
    <t>Taxes</t>
  </si>
  <si>
    <t>CF after taxes</t>
  </si>
  <si>
    <t>Total discounted</t>
  </si>
  <si>
    <t>Cum.Sum</t>
  </si>
  <si>
    <t>Cum.Sum discounted</t>
  </si>
  <si>
    <t>Results</t>
  </si>
  <si>
    <r>
      <t>€/ton H</t>
    </r>
    <r>
      <rPr>
        <vertAlign val="subscript"/>
        <sz val="9"/>
        <color theme="1"/>
        <rFont val="Verdana"/>
        <family val="2"/>
      </rPr>
      <t>2</t>
    </r>
  </si>
  <si>
    <r>
      <t>€/ton H</t>
    </r>
    <r>
      <rPr>
        <i/>
        <vertAlign val="subscript"/>
        <sz val="9"/>
        <color theme="1"/>
        <rFont val="Verdana"/>
        <family val="2"/>
      </rPr>
      <t>2</t>
    </r>
  </si>
  <si>
    <t>Environmental</t>
  </si>
  <si>
    <t xml:space="preserve">Total </t>
  </si>
  <si>
    <t>Impact</t>
  </si>
  <si>
    <t>Chemicals</t>
  </si>
  <si>
    <r>
      <t>H</t>
    </r>
    <r>
      <rPr>
        <vertAlign val="subscript"/>
        <sz val="9"/>
        <color theme="1"/>
        <rFont val="Verdana"/>
        <family val="2"/>
      </rPr>
      <t>2</t>
    </r>
    <r>
      <rPr>
        <sz val="9"/>
        <color theme="1"/>
        <rFont val="Verdana"/>
        <family val="2"/>
      </rPr>
      <t xml:space="preserve"> compression </t>
    </r>
  </si>
  <si>
    <t xml:space="preserve">Equipment </t>
  </si>
  <si>
    <t>Avoided impact</t>
  </si>
  <si>
    <t>Materials</t>
  </si>
  <si>
    <t>Total climate change impact system</t>
  </si>
  <si>
    <r>
      <t>CO</t>
    </r>
    <r>
      <rPr>
        <vertAlign val="subscript"/>
        <sz val="9"/>
        <color theme="1"/>
        <rFont val="Verdana"/>
        <family val="2"/>
      </rPr>
      <t>2eq</t>
    </r>
    <r>
      <rPr>
        <sz val="9"/>
        <color theme="1"/>
        <rFont val="Verdana"/>
        <family val="2"/>
      </rPr>
      <t xml:space="preserve"> avoided compared to benchmark</t>
    </r>
  </si>
  <si>
    <t>Results combined indicators</t>
  </si>
  <si>
    <t xml:space="preserve">Carbon abatement cost </t>
  </si>
  <si>
    <r>
      <t>Energy use per avoided CO</t>
    </r>
    <r>
      <rPr>
        <vertAlign val="subscript"/>
        <sz val="9"/>
        <color theme="1"/>
        <rFont val="Verdana"/>
        <family val="2"/>
      </rPr>
      <t>2eq</t>
    </r>
  </si>
  <si>
    <t>Contribution analysis</t>
  </si>
  <si>
    <t>€/year</t>
  </si>
  <si>
    <r>
      <t>€/ton H</t>
    </r>
    <r>
      <rPr>
        <b/>
        <vertAlign val="subscript"/>
        <sz val="9"/>
        <color theme="1"/>
        <rFont val="Verdana"/>
        <family val="2"/>
      </rPr>
      <t>2</t>
    </r>
  </si>
  <si>
    <t>CAPEX electrolyser</t>
  </si>
  <si>
    <t>CAPEX compressor</t>
  </si>
  <si>
    <t>CAPEX storage</t>
  </si>
  <si>
    <t>Electricity electrolyser</t>
  </si>
  <si>
    <t>Water electrolyser</t>
  </si>
  <si>
    <t>Electricity compressor</t>
  </si>
  <si>
    <r>
      <t>kg CO</t>
    </r>
    <r>
      <rPr>
        <b/>
        <vertAlign val="subscript"/>
        <sz val="9"/>
        <color theme="1"/>
        <rFont val="Verdana"/>
        <family val="2"/>
      </rPr>
      <t>2eq.</t>
    </r>
    <r>
      <rPr>
        <b/>
        <sz val="9"/>
        <color theme="1"/>
        <rFont val="Verdana"/>
        <family val="2"/>
      </rPr>
      <t>/ton H</t>
    </r>
    <r>
      <rPr>
        <b/>
        <vertAlign val="subscript"/>
        <sz val="9"/>
        <color theme="1"/>
        <rFont val="Verdana"/>
        <family val="2"/>
      </rPr>
      <t>2</t>
    </r>
    <r>
      <rPr>
        <b/>
        <sz val="9"/>
        <color theme="1"/>
        <rFont val="Verdana"/>
        <family val="2"/>
      </rPr>
      <t xml:space="preserve"> </t>
    </r>
  </si>
  <si>
    <t xml:space="preserve">Oxygen production </t>
  </si>
  <si>
    <t xml:space="preserve">One-at-a-time sensitivity analysis </t>
  </si>
  <si>
    <t>Scenario analysis - Break-even analysis and What-if analysis</t>
  </si>
  <si>
    <t>Electricity price (€/MWh)</t>
  </si>
  <si>
    <t>Operating hours (hr/yr)</t>
  </si>
  <si>
    <t>LCOH</t>
  </si>
  <si>
    <t>Electricity price</t>
  </si>
  <si>
    <t xml:space="preserve">If you add something to the table, the conditional format will have to be updated as it does not recognize the table name. The dropdown list will be updated automatically. </t>
  </si>
  <si>
    <t>Solvents</t>
  </si>
  <si>
    <t xml:space="preserve">Status </t>
  </si>
  <si>
    <r>
      <t>kg CO</t>
    </r>
    <r>
      <rPr>
        <vertAlign val="subscript"/>
        <sz val="11"/>
        <color theme="1"/>
        <rFont val="Calibri"/>
        <family val="2"/>
        <scheme val="minor"/>
      </rPr>
      <t>2eq</t>
    </r>
    <r>
      <rPr>
        <sz val="11"/>
        <color theme="1"/>
        <rFont val="Calibri"/>
        <family val="2"/>
        <scheme val="minor"/>
      </rPr>
      <t>/kg</t>
    </r>
  </si>
  <si>
    <t>Critical Raw Materials included in catalysts</t>
  </si>
  <si>
    <t>Status</t>
  </si>
  <si>
    <t>1,4-dioxane</t>
  </si>
  <si>
    <t>Aluminium</t>
  </si>
  <si>
    <t>Ac2O</t>
  </si>
  <si>
    <t>Antimony</t>
  </si>
  <si>
    <t>Acetone</t>
  </si>
  <si>
    <t>Arsenic</t>
  </si>
  <si>
    <t>Acetonitrile</t>
  </si>
  <si>
    <t>Baryte</t>
  </si>
  <si>
    <t>AcOH</t>
  </si>
  <si>
    <t>Bauxite</t>
  </si>
  <si>
    <t>Anisole</t>
  </si>
  <si>
    <t>Beryllium</t>
  </si>
  <si>
    <t>Benzene</t>
  </si>
  <si>
    <t>Bismuth</t>
  </si>
  <si>
    <t>Benzyl alcohol</t>
  </si>
  <si>
    <t>Borate</t>
  </si>
  <si>
    <t>BuOH</t>
  </si>
  <si>
    <t xml:space="preserve">Cadmium </t>
  </si>
  <si>
    <t>CCl4</t>
  </si>
  <si>
    <t>Chromium</t>
  </si>
  <si>
    <t>Chlorobenzene</t>
  </si>
  <si>
    <t>Cobalt</t>
  </si>
  <si>
    <t>Chloroform</t>
  </si>
  <si>
    <t>Coking coal</t>
  </si>
  <si>
    <t>Cyclohexane</t>
  </si>
  <si>
    <t>Copper</t>
  </si>
  <si>
    <t>Cyclohexanone</t>
  </si>
  <si>
    <t>Fluorspar</t>
  </si>
  <si>
    <t>DCE</t>
  </si>
  <si>
    <t>Gallium</t>
  </si>
  <si>
    <t>DCM</t>
  </si>
  <si>
    <t>Germanium</t>
  </si>
  <si>
    <t>Ciethyl ether</t>
  </si>
  <si>
    <t>Gold</t>
  </si>
  <si>
    <t>Diisopropyl ether</t>
  </si>
  <si>
    <t>Hafnium</t>
  </si>
  <si>
    <t>DMAc</t>
  </si>
  <si>
    <t>Heavy rare earth elements</t>
  </si>
  <si>
    <t>DME</t>
  </si>
  <si>
    <t xml:space="preserve">Helium </t>
  </si>
  <si>
    <t>DMF</t>
  </si>
  <si>
    <t>Indium</t>
  </si>
  <si>
    <t>DMPU</t>
  </si>
  <si>
    <t>Lead</t>
  </si>
  <si>
    <t>DMSO</t>
  </si>
  <si>
    <t>Light rare earth elements</t>
  </si>
  <si>
    <t>DMC</t>
  </si>
  <si>
    <t>Lithium</t>
  </si>
  <si>
    <t>Ethylene glycol</t>
  </si>
  <si>
    <t>Magnesium</t>
  </si>
  <si>
    <t>EtOAc</t>
  </si>
  <si>
    <t>Manganese</t>
  </si>
  <si>
    <t>EtOH</t>
  </si>
  <si>
    <t>Natural graphite</t>
  </si>
  <si>
    <t>Ethylene oxide</t>
  </si>
  <si>
    <t>Natural rubber</t>
  </si>
  <si>
    <t>Formic acid</t>
  </si>
  <si>
    <t>Nickel</t>
  </si>
  <si>
    <t>Heptane</t>
  </si>
  <si>
    <t>Niobium</t>
  </si>
  <si>
    <t>Hexane</t>
  </si>
  <si>
    <t>Phosphate rock</t>
  </si>
  <si>
    <t>i-PrOAc</t>
  </si>
  <si>
    <t>Phosphorus</t>
  </si>
  <si>
    <t>i-PrOH</t>
  </si>
  <si>
    <t>Platinum Group Metals</t>
  </si>
  <si>
    <t>Me-cyclohexane</t>
  </si>
  <si>
    <t>Rhenium</t>
  </si>
  <si>
    <t>MEK</t>
  </si>
  <si>
    <t>Scandium</t>
  </si>
  <si>
    <t>MeOAc</t>
  </si>
  <si>
    <t xml:space="preserve">Selenium </t>
  </si>
  <si>
    <t>MeOH</t>
  </si>
  <si>
    <t>Silicon metal</t>
  </si>
  <si>
    <t>Me-THF</t>
  </si>
  <si>
    <t>Silver</t>
  </si>
  <si>
    <t>Methoxy-ethanol</t>
  </si>
  <si>
    <t>Strontium</t>
  </si>
  <si>
    <t>MIBK</t>
  </si>
  <si>
    <t>Tantalum</t>
  </si>
  <si>
    <t>MTBE</t>
  </si>
  <si>
    <t>Tin</t>
  </si>
  <si>
    <t>n-BuOAc</t>
  </si>
  <si>
    <t>Titanium</t>
  </si>
  <si>
    <t>Nitromethane</t>
  </si>
  <si>
    <t>Tungsten</t>
  </si>
  <si>
    <t>NMP</t>
  </si>
  <si>
    <t>Vanadium</t>
  </si>
  <si>
    <t>Pentane</t>
  </si>
  <si>
    <t>Zinc</t>
  </si>
  <si>
    <t>Pyridine</t>
  </si>
  <si>
    <t>Zirconium</t>
  </si>
  <si>
    <t>Sulfolane</t>
  </si>
  <si>
    <t>TEA</t>
  </si>
  <si>
    <t>THF</t>
  </si>
  <si>
    <t>Toluene</t>
  </si>
  <si>
    <t>Xylenes</t>
  </si>
  <si>
    <t xml:space="preserve">Summary main results </t>
  </si>
  <si>
    <t>Calculation sheet for one pathway. Calculations of the mass and energy balance, the economic and environmental indicators are included here. This sheet also includes the PFD. The sheets for Pathway 2 ("2. Pathway 2"), 3 ("3. Pathway 3") and 4 ("4. Pathway 4") should be unhidden if multiple pathways are defined.</t>
  </si>
  <si>
    <t>General project information</t>
  </si>
  <si>
    <t>Selected Pathway</t>
  </si>
  <si>
    <t>Select the desired pathway that needs to be shown in the dashboard</t>
  </si>
  <si>
    <t xml:space="preserve">1. Pathway 1 </t>
  </si>
  <si>
    <t>Detailed Technical indicators by Pathway</t>
  </si>
  <si>
    <t>Technical Indicators</t>
  </si>
  <si>
    <t>Economic Parameters</t>
  </si>
  <si>
    <t>IRR (Internal Rate of Return)</t>
  </si>
  <si>
    <t>Total manufacturing cost (€/yr)</t>
  </si>
  <si>
    <t>Detailed Economic indicators by Pathway</t>
  </si>
  <si>
    <t>Environmental Parameters</t>
  </si>
  <si>
    <t>Detailed Environmental indicators by Pathway</t>
  </si>
  <si>
    <t>CO2eq avoided compared to benchmark (ton CO2eq/yr)</t>
  </si>
  <si>
    <t>Combined Parameters</t>
  </si>
  <si>
    <t>Carbon abatement cost (€/ton CO2eq avoided)</t>
  </si>
  <si>
    <t>Detailed Combined indicators by Pathway</t>
  </si>
  <si>
    <r>
      <t>ton H</t>
    </r>
    <r>
      <rPr>
        <vertAlign val="subscript"/>
        <sz val="9"/>
        <color theme="1"/>
        <rFont val="Verdana"/>
        <family val="2"/>
      </rPr>
      <t>2</t>
    </r>
  </si>
  <si>
    <t>Electricity use (renewable)</t>
  </si>
  <si>
    <t>Electricity use (non-renewable)</t>
  </si>
  <si>
    <t>Heat use</t>
  </si>
  <si>
    <t>Fuel use</t>
  </si>
  <si>
    <t>Land use</t>
  </si>
  <si>
    <t>m²</t>
  </si>
  <si>
    <t>Number of installations</t>
  </si>
  <si>
    <t xml:space="preserve">Materials </t>
  </si>
  <si>
    <t>Feedstock</t>
  </si>
  <si>
    <t>Heat</t>
  </si>
  <si>
    <t>Direct emissions</t>
  </si>
  <si>
    <r>
      <t>Energy use per ton avoided CO</t>
    </r>
    <r>
      <rPr>
        <vertAlign val="subscript"/>
        <sz val="9"/>
        <color theme="1"/>
        <rFont val="Verdana"/>
        <family val="2"/>
      </rPr>
      <t>2eq</t>
    </r>
  </si>
  <si>
    <t xml:space="preserve">Explain the functional unit that you have selected for the sustainability impact calculation. </t>
  </si>
  <si>
    <t>Recycled content (%)</t>
  </si>
  <si>
    <t>Renewable content (%)</t>
  </si>
  <si>
    <t>Reuse rate (%)</t>
  </si>
  <si>
    <t>Recycling rate (%)</t>
  </si>
  <si>
    <t>Recycling output rate (%)</t>
  </si>
  <si>
    <t>Share of renewable energy (%)</t>
  </si>
  <si>
    <t>Net climate change impact (ton CO2eq/yr)</t>
  </si>
  <si>
    <r>
      <t>Carbon abatement cost (€/ton CO</t>
    </r>
    <r>
      <rPr>
        <vertAlign val="subscript"/>
        <sz val="9"/>
        <color theme="1"/>
        <rFont val="Verdana"/>
        <family val="2"/>
      </rPr>
      <t>2eq</t>
    </r>
    <r>
      <rPr>
        <sz val="9"/>
        <color theme="1"/>
        <rFont val="Verdana"/>
        <family val="2"/>
      </rPr>
      <t xml:space="preserve"> avoided)</t>
    </r>
  </si>
  <si>
    <r>
      <t>Energy use per ton avoided CO</t>
    </r>
    <r>
      <rPr>
        <vertAlign val="subscript"/>
        <sz val="9"/>
        <color theme="1"/>
        <rFont val="Verdana"/>
        <family val="2"/>
      </rPr>
      <t>2eq</t>
    </r>
    <r>
      <rPr>
        <sz val="9"/>
        <color theme="1"/>
        <rFont val="Verdana"/>
        <family val="2"/>
      </rPr>
      <t xml:space="preserve"> (MWh/ton CO</t>
    </r>
    <r>
      <rPr>
        <vertAlign val="subscript"/>
        <sz val="9"/>
        <color theme="1"/>
        <rFont val="Verdana"/>
        <family val="2"/>
      </rPr>
      <t>2eq</t>
    </r>
    <r>
      <rPr>
        <sz val="9"/>
        <color theme="1"/>
        <rFont val="Verdana"/>
        <family val="2"/>
      </rPr>
      <t xml:space="preserve"> avoided)</t>
    </r>
  </si>
  <si>
    <t>Energy use per ton CO2 avoided (MWh/ton CO2eq avoided)</t>
  </si>
  <si>
    <t>Investment cost (total) (€)</t>
  </si>
  <si>
    <t>NPV (€)</t>
  </si>
  <si>
    <t>IRR (%)</t>
  </si>
  <si>
    <t>PBP (yr)</t>
  </si>
  <si>
    <t>DPBP (yr)</t>
  </si>
  <si>
    <t>Operational cost (total) (€/yr)</t>
  </si>
  <si>
    <t>Revenues (total) (€/yr)</t>
  </si>
  <si>
    <r>
      <t xml:space="preserve">Disclaimer: </t>
    </r>
    <r>
      <rPr>
        <i/>
        <sz val="9"/>
        <color theme="1"/>
        <rFont val="Verdana"/>
        <family val="2"/>
      </rPr>
      <t>This dashboard displays an overview of important data, each time referring to the different input worksheets. Data should not be entered in this worksheet by the registrants.</t>
    </r>
  </si>
  <si>
    <t>Credits (avoided impacts)</t>
  </si>
  <si>
    <t>Impacts</t>
  </si>
  <si>
    <t>Credits</t>
  </si>
  <si>
    <t>Total impacts</t>
  </si>
  <si>
    <t>Total credits</t>
  </si>
  <si>
    <t>Net total climate change impact</t>
  </si>
  <si>
    <t>ton CO2eq/yr</t>
  </si>
  <si>
    <t>€/ton CO2eq avoided</t>
  </si>
  <si>
    <t>MWh/ton CO2eq avoided</t>
  </si>
  <si>
    <r>
      <t xml:space="preserve">- Helpdesk - </t>
    </r>
    <r>
      <rPr>
        <sz val="9"/>
        <color theme="4"/>
        <rFont val="Verdana"/>
        <family val="2"/>
      </rPr>
      <t>moonshot.sustainabilityframework@vito.be</t>
    </r>
  </si>
  <si>
    <t xml:space="preserve">Capacity </t>
  </si>
  <si>
    <t>Investment cost</t>
  </si>
  <si>
    <t>Electrolyser CAPEX - PEM</t>
  </si>
  <si>
    <t>Constant</t>
  </si>
  <si>
    <t>Power</t>
  </si>
  <si>
    <t>Electrolyser CAPEX - Alkaline</t>
  </si>
  <si>
    <t>Comment</t>
  </si>
  <si>
    <t>Electrolyzer CAPEX estimate via regression</t>
  </si>
  <si>
    <t>Electricity impact factor</t>
  </si>
  <si>
    <r>
      <t>Electricity impact factor (kg CO</t>
    </r>
    <r>
      <rPr>
        <vertAlign val="subscript"/>
        <sz val="9"/>
        <color theme="1"/>
        <rFont val="Verdana"/>
        <family val="2"/>
      </rPr>
      <t>2eq</t>
    </r>
    <r>
      <rPr>
        <sz val="9"/>
        <color theme="1"/>
        <rFont val="Verdana"/>
        <family val="2"/>
      </rPr>
      <t>/kWh)</t>
    </r>
  </si>
  <si>
    <t>Optimistic scenario</t>
  </si>
  <si>
    <t>Pessimistic scenario</t>
  </si>
  <si>
    <t>Neutral scenario</t>
  </si>
  <si>
    <t>Scenario Summary</t>
  </si>
  <si>
    <t>Changing Cells:</t>
  </si>
  <si>
    <t>Result Cells:</t>
  </si>
  <si>
    <t>CO2eq avoided compared to benchmark</t>
  </si>
  <si>
    <t xml:space="preserve">This table will not automatically update! </t>
  </si>
  <si>
    <t xml:space="preserve">Current TRL </t>
  </si>
  <si>
    <r>
      <t>Climate change impact (ton CO</t>
    </r>
    <r>
      <rPr>
        <b/>
        <i/>
        <vertAlign val="subscript"/>
        <sz val="9"/>
        <color theme="1"/>
        <rFont val="Verdana"/>
        <family val="2"/>
      </rPr>
      <t>2eq</t>
    </r>
    <r>
      <rPr>
        <b/>
        <i/>
        <sz val="9"/>
        <color theme="1"/>
        <rFont val="Verdana"/>
        <family val="2"/>
      </rPr>
      <t>/FU)</t>
    </r>
  </si>
  <si>
    <t xml:space="preserve">This example template is solely made to demonstrate how the Excel template works using a simplified example. The results from the analysis should therefore not be used to make conclusions on the economic feasibility, nor the environmental impact of the case study. The simplified case study does not follow all the methodological guidelines as its only goal is to showcase how the Excel template works.   </t>
  </si>
  <si>
    <t>Market price Oxygen</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</si>
  <si>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</si>
  <si>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</si>
  <si>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</si>
  <si>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</si>
  <si>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</si>
  <si>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</si>
  <si>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</si>
  <si>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</si>
  <si>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</si>
  <si>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</si>
  <si>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</si>
  <si>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</si>
  <si>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53986a65-f770-4a51-8b77-73507703699a</t>
  </si>
  <si>
    <t>CB_Block_0</t>
  </si>
  <si>
    <t>㜸〱敤㕣㕢㙣ㅣ搵ㄹ摥ㄹ敦慥㜷搶㜶㙣攲㕣〸㔷㜳扦㌸㕡攲㤰㜰㈹㑤㠳㉦戹ㄸ㥣搸挴㑥㈸愲㜴ㄹ敦㥥戱㈷搹㤹㜵㘶㘶㥤㤸搲ㄲ㕡ち愵ㄷ㔵搰㠷ㄶ㑡㕢㠴㕡㔴㕥㉡搱〷〴㠵㍥㔴慡搴慡〲挴〳慡搴㠷㔶ㄴ愱昶愱㔵ㄵ愹㉦㍣㈰搱敦㍢㌳戳㍢扢敢ㅤ㍢ぢ戴愶昲㈴晢攷捣戹㥦昳㕦捦晦㥦㐹㐲㐹㈴ㄲㅦ攲攱扦㝣㤲㑣㕣㌴扤攴㝡挲捡㡤㤶㑢㈵㔱昰捣戲敤收㠶ㅤ㐷㕦㥡㌰㕤慦〳ㄵ搲㜹ㄳ攵㙥㉡敦㥡て㠸㑣㝥㔱㌸㉥㉡愵ㄲ㠹㑣㐶㔳㔱捥㑥昸敢ぢ㕦㌴戶敡㑥〲捣㡣㡥㑣捥ㅥ㐷慦搳㕥搹ㄱ摢〷㡥昹㙤昷っつ攵㠶㜲扢㙥ㅥ扡㈹户㘳晢挰㘸愵攴㔵ㅣ戱挷ㄶㄵ捦搱㑢摢〷愶㉡戳㈵戳㜰愷㔸㥡㈹㥦㄰昶ㅥ㌱扢攳挶㔹㝤搷㉤㐳扢㜶敦㌶㙥扤昵㤶㙥っ㥤㌸㍣㍡㌲攵〸挳晤㤸晡㑣㜱捡扢挶㐴挱攴摡㠴㜰㑣㝢㉥㌷㍡㠲扦㤱昹攳敤收摣昴扣㄰ㅥ㠷ㄶ㡥戰ぢ挲搵搰戰换ㅡ㜶摤㡡戵挰捤搳慣晤㔸㙡㐱㜷扤㤴㌵㉡㑡㈵捤ち㝢捤㔸㤳搸扢㤲扥搴㙤㑤ぢ摢㌵㍤㜳搱昴㤶搲搶っ㍡㉡昶㔸㐷㕤㜱㐴户攷挴㘱摤ㄲ㈹敢㐰挵㉣㈶晤㈷搱㜱㑤搸㐵㜴㘲㜲昹戹㘱搷ㅡ㥤搷ㅤ㌹㈳㤷ㅢㄳ㔳㜷扦㔳愸慦㝢㐵敢㝥㌹㜵㌹〲晢扣慡㜵㍤㤴ㅣ搳㥤㙡捤挱搶㌵㠳挵搷捦攰㠶搶昵㈳㝢㔴摦收扡搶㙤攴㔶搶搷㔶扡〲晡㤶㍢㡡挵㘸㘹㠲㑥㠲っ〱ㄱ愸㘵〹扡〸扡〱㤴攴扦挱㈵搱㠶㉣㔲昳扡㥡㥦㔵昳〵㌵㕦㔴昳㐲捤ㅢ㙡㝥㑥捤捦慢㜹㔳捤ㅦ㔷昳㈷㔰㈷㝣㌲㥤㥤㙡昰㉣散㝣攱捤愷晥昲搶搸捦㕥㝤敦㘴晡扤㠹㠱敥つ愸㜴㔷㌰愹㌱㐷㍦〵㔲慢㔱昱捥摣づ晥㔹㤹㉢挰ㄴ挶㙥攳㘶㘳㘸愸戸㝢㠷㝥愳㥥攲戲㘲㤰㕦㐷㈸㝤愸摢㙤摣㙤摡挵昲㈹㠹扢㡢㐶㜴㔷搴㌶㙥㌰㈸ㅢ㈹㔷散愲㝢攱昲㠵搳㥥敥㠹ぢㅡ换㙡㥤㌴㌵㥢〶㕢〹㔷㡥㜷㐹㘳戳㘳㝡愹㈲㠶㑦㥢㝥昱挵つ挵搶㤴㔳㥥㙤㕤扡摦ㄱ㈷慢愵㑤㌳ㅡ㠶㔰㕢㤴㝤㌷慤搲㉦昲攷㌵㌰㍡㕦㜶㠵㉤愷㌷㘸㑤㤹㠵ㄳ挲㤹ㄶㄴ㠹愲㈸㤷扡㤹㐵〱搷て㑥摡㔸㈸戸戵㜸㜹㌴搷搸㜷摡〳㌳㡢㈲收扢㈰ㅣ㙦㘹㐶㥦㉤㠹㉤㜵㔵晣㌱㔱戰慤㉥㝢㝦戹㔰㜱㐷换戶攷㤴㑢昵㈵挳挵㐵ㅤ㤲愶㜸愸㕣ㄴ挹㘴㐲ち〵〸摣㡥づ㐵㐹㕣摦㥡ㄷ㈴㈲㈲㈸㈶㈳㥦㕦㑦㜶戹㈳㔸ㅤ㔶㔱ㄲ愴㐹昵捡ㄵ㍡攳㝣愵㡣㠹攱挰挸㥡愸㍦㌸攸戵㉢㜴㕢挵摣㈷㕢㔹㔵晢㠳搵敦㕢ㄴ戶㜷㔰户㡢㈵攱挴㙡㍦㠵㌳搲㝡〱㔲㘷㈱㄰㕡敥ㅥ㔵㥤㜲㕡㔹㑡㥤㌲㡢摥㝣㝡㕥㤸㜳昳ㅥ昲愰㈱㌳ㄹ㙥㙤搳愳㥤㠷㉣㙤㈳㐱㍦㐰㌶㥢㐸㙦㘲愵㜴ㄶ㑦㈲㐵改ㄴ挳换㜵㠲㥣敤敡㜸戹摢搸㙦㤶㍣攱ぢ攵㕥〳ㄸ昱戵㥡㐴㕦て㐹搴搱ぢ扥挲搸㘴㡣㠲㑡㜵搳昶㤶㙡㝣摢挴㈵㍥ㄱ慤换㠲㌵㈷ぢ㈸ち敡攵㐱っ慦㠱㘸ㅡ愴㐱㝣攵〸ㄱ㤱つ㘲㌴㍢㝡慥㈷㌲搶㡦㤱ㄱ愸ㅦ㈵㐲搶摥搱㕡㐶㤰搸㥢㠹㤴㡤㕡昲攳扡㌴㕢捥㤶昷愵搹㘶㙣㥣戶㠵㘰㉢挱昹〴摢〰㤴扦㐱挲㔱捡㈱㕤晦㘸ㄷ攲㕤扢㠸攰㘲〰挸㈷㡤㌲㈷㄰㔵戴愱㔶㘳㐷戲㕥て散㘴㘹ㄴ晢愲㠸㤶㜱搵捥散戱㈴愲〳慢㜳㙤攸摡愴搴戱㔷户愶捤攸㜲㐸㤱㌱㔵愳㙢㕤愱㙡㜴㈳㔸戵㑤扤㜵㈹㥡㙡〳〴㤷〱昸㡡㠵挶敥敡慣㜹㥡㤳㥦ち㤳挸㌷㠴摡㔴敥〱ㄱ搳晣㡦ㄱ㜰㑤㐷㤷㜵晢㤹愶攰愰昱愹户㥦户户收敤〰改つ㍡㜳㕤攷搰㔷㜴㡥ㄶ昴攵㘰㉦攵捦㉤昵换㤵㈸搶慥㈲戸ㅡ愰㐱扦昰攴㝤慥㕥〲㘹ㄲ㕢ㄱ捣㙤愴挷㐵㕡戸㌳㑢ぢ㐲㙡㥦㙥㘳㐶㜷收㠴〷敦挵昸ㄸ散攰戲攳㠸ㄲづ戴㐵㤹挱戳换搶晡㑣㜷扦㔳戶㤸扦㙥ㅦ扢㥦ち挵㤰㑣慡ㅤ㠹〶晢㌸挶捥㡣昸㥢㈲㤴㐳晤㝢㘳㙢㈱ㄱ㘹㔴㑦㕥㙣ㄷ㝦戶㕣㤷㈴㙤㐸㤲㙢戱慤摡㜵〰㤰ㄲ捡ㅦ㕢㑡㤴㐱㔶摢㉥慢搵㕢慢昴敥挵㥣㑣ㅡ晣㠷㑤㜲愴换㜷搶㡥挰㜷攰昶㔸搳愶㔵ㄵㄶ㕤搶㤴㜰ち昰㉢㤸㈵㤱昵㕤戲ㄴ㌵敢戲攲㔳㈲㉢㍡㍡㥡捥搲㌱扥㌵㐹㈷つ㔲㈲㤶摢㘳ぢ㘳捥攱㌵愲愲ぢ㤲㐲㈵挶㉤㔴㤵㐰愴㍣搶㕤ㄷ㌱㙤㠸㤸ㅣ㌶㑥扢㠱㘰〷挱㄰㐰敡㑤㐸㥡搵㙥㍣㐳㘱㥤㡢㜴㘷攷昳㠹っ搱㈰摤㠳㙦戴ㄴ㔶扢㌸捣㙥㠲㥢〰ㅡ捣ㅦ㍡ㅦ㘳〸㔱愲㍣㐲㠸戴㤶㌴攳㤸㈹㑥㤱〶㌶ㄸ〸㉡㡤㔶㕣慦㙣㌱慡搴㘳㡣㤵て㤷扤㌱搳㕤㐰ㄴ慡摦〸ㄲ㜷捦ぢㅢ搴攵挰昶㘹挸㉢㉦㉣㠸愲㘶㑣㤷㉢㄰㙤攳㘳㙢攱㔰㡥昵挱㤶㤴攷㜲㔵挱搳摥搹ㄸ㕤㈸昲㐴っ㕦㉢㍤戱慢昲㝣昳搰搷㕢摢搱ㄹ搳㉢㠹㉥挳㘷㍡愶㌳〶㜶ㄱ㔱㠳㘲愷㌱㌳敦〸㌱搶㘳ㅣ㜰捣㘲挹戴〵㤱〱ㅢ㤳㠱扡〹㌱㠷〸挱㔴㤹昱扦戲摤㘳捣㌸扡敤㉥攸っ㈶㉥㙤慣㝢㤳㈱㤱㤴㌱㘲摡㉥㠶㤱㔸㘴扡搷㤸㥥㉦㥦㐲戴戶㘲搹〷昴〵㜷㑤㘰㠵㐴敦㍦ㄲ㌵㡡慡愸慡㤲㔱㌳敤攲㠷〷昲㐴㘲㈷㝥㐹〲㠹慢㐴㡡晥昲ㄸ敤㑤扢㍥㠸捦搰㑥攷㥣扡ㄱ㌹慡㘶㜶挴㑡㘱㜲慡㜶ぢ摢摣ち㜰挷㠱愳攳戵愸摣㐷㡡㔷愷攸攱㡦㤱昱㤲㉣慡㐱㄰晡攷㌶昸愴挲㍣㔲づ㌸㄰ㄸ攷㕢㈳昹㘵つ㔹㠷搴户愱㤶摣㡦㈸㔲户㌱愱捦㡡ㄲ㘲搱㤶敥㙤昰㕦㘸挶㕡㝡挹つ捡㐶换㤶愵㤳戴㐸㤶搳〵㥤ㄴ㍣㕣昱捡㠷㑣㕢㌳〰㈴晤〵㔹晡㘹㘴改愷㘵㔶户㜱㠴㘱㐱㤹㘶㕦攵㌹摤㌱扤㜹换㉣㘴昸挲搰摤㥡愰㐹㌰㌹㈵㙦昸㠴㌲㘳愰挱㥡㍦ち㤳捤捤〱摤㌹挸㔱㙥ㅤ搱て捡㔵㤵㌴晥㈸㙤㍡㤶㈰㘰愴㤷㔴扢つ扤愵攴捤〸㠸ㅣ昹㥣つ敦㕦㥣㝤〸㌹扥㕦㡥㔸㡦㈱ㄱ㜸〴㈳㐲㥥敥敤戴㜱搴㌶㍤㘰㡦ㄸ摢㙦㝡㘳㉥㔰づ㠰愴㍣摥㕥㈰戱ㅡ㘹㌴㔸搵ち㤷㌶ㄷ搵愹㠹㑢㥡换愳㝡攳捡㘵㡡㝤㡤ㄲ㔱㈴㉢㔵㤲㥡㘵㤹㌹慥㈵㔵愳㐸挵ㅤ㙡ㅢ㈵捥㙤㕡摢㜷㑡㤱㡦愰㤸㈴捤㈴戴㍤㤲㔰㄰攴㈵㜵㐰㐷搱㕦ㅦ㑦ㅥ㤱㘸つ㙤㠰㉣昵㤴㥦搷ㄳ㠴〳挷㜱攵愴㈸戲挱ㅢ昸㝢㐳㤰㥣慣㜸㜵㈵晡改晥愰㘴戸㔴㥡戴㘱㈵ㄴ㜴愷戸㐶㔸ㅡ㙢昳㌵㡣攴捥㜶戵扦扦扤ㄱ㐶っ搸㤰㈱㤱ㄸ㍦㌰搸㄰捣ㄵ㠹愶搲㍡敢攱㔶㔷戳㌳㝣㍢㈴㜴㕢㘲㘰摡㉢㡥㠹㐵㘹㠶搵㉣昹㝥搹愰㝡㕡㤴㜲㔴㌳㠶㘷㕤愸㜴㡦㜲㍣㐸㐹〶搷㡣㈳㜴㑢攱〲〳挴㙥㤰㥡㉡㜸〸敢㔶㍢攰挹㘰敤㘰〷㍢攲㠷㑤㘸㥤㔱㠲愶㘳〸户㝥ㄱ攴㥤㌶㌱ち㐱㙡挸攷㕦㝢㤵愷㥦攲昳挲摥㐴㤸〸㤸㠸愱慥ㄸ敢〱挸㡤㐶㈵挹㐵晤㘱戰摣㤷㙣㔲㘸㜵㠷㜹㌴㌱㝡㘸昲㌹ㅥ㙥昰㌰㡥搵㑢戶㈹攱㡥㥢㘷㐲㥢㤶㤶㌶ㄸ攳㜶愱㔴㈹ち愹㡡㐳㔹㉤㌵昲㥡挰㤷扣晥攷㜳㔳捣扥〴㥢㌲㡥愳ㄴ㤷㑣㈴戵㙦㜷㙢㥦㐳㜳㈹攴搰㠷㉦摢ㄸ㝣㡣㜱换挹㘰㔸搳ㅤ〵摡㠷ㅢ㙢㤷ㄷ攴挵㌹㠸戴愶㉣捡戲〹摣挵慢㐶㤰㈵户㐵慡㑤㤴㈷捡戴搹㈳㔹〷㑤㍦㙢㑤攰〸敢昴〵㕥㍡つ㘳愴㑤敥㘰㈷㠹戳㐱㘴昷散㐳昲㌵㜱㜶㙦㘰㝣㈸㡣敦昲ㄴ㤴挰慥㠲㤱㘸㜰慢㌵慢㕢㘱攴㤷㤶户㜶㍢㠰挲㄰㌰つ㕡搴昴つ㥣ㄱ愴㔷㌶㜰ㄸ㡣㡣㠹㡥㐶〳愹㡣㔱昶挳㘱て愴㠱㥢㜸㤰㥥㈹㐳〹㜹㥢攴愵戰昰㕥攲愰㠵㈳㔰搹搹搲㤰㌹愵㝢戸晡㘲㙦㙢挸ㅥ㉥ㄶ㘹敥挲㍦户㈶戰㡡㙢ㅢ扥㌹扡愹攱㐲㤶㕣ㄳ敤扢㉢ㅡち㠲㡢㠲㍢挷㜲〷㜵慦㌰㍦敤㉤昹㤷戶摡㈵㠹搴慦攱㡦㔸㜶㜴摡捣㐹㥢㤷㔰ㄷ戹昷搹ㄳ㜶昹㤴㉤攷㤵㜲㜹攳㡦㔶慣搶搹挹㐹㘶ㄳㅦ攲㡦㝣搴㐴敡㌵昴戸㥡㘹戳㠳㥡㠳㠴晤挸挷㤷〶〳㐸挷搰〹㙣昷敡㡤〱搲挹愶〶㍡㤱㠲㘰㥤㔰散戹㡦㡤㔰㤴㔷㠱㔶ㄲ㡢㝦㈴挷㥥㍦て搶㔷㝥㠵ㅣ㈲ㅣ敦㠱ㄸ㐹㕤㠶㔴っ敡愴㈰て慥㜷昰㌲挸晦て㤶㐲㙥㕥㤶㥤晥ぢ捣慣扣搲㠸愲㑢㠸愲㤷㥢㔱挴㐰散㌹㠵扣㌹晢昵愳收㈷㝥慤昷㝦㜸搴扣〳ㄸ收㈳慤㌱〴搵ㄸ㡣慦ㅡ〳ㅤ㑤挶挰㔵㈸㤶挶挰㥤㙣挳㜸扤㙦っ〴摥㡥㐳挸㔸搹ㄸ㘰ㄴ㉦挶攴㡢〴㔵㈳づっ㥥戵戶㔸昴㠴ㅤ挴昵㕡攱㈲㜲て昵攴㡥挲昷戴戵㌹㝢㑡㜷㜴㙢㥢捣㍦攰〸愸㉤㘷〶昷戵㘵ㄳ戶戸㘰搹ㄲ搹㘸ㄹ慦㐴攸㑦㕦昷㥣慣敥㤶㍡㌰攵㍦扥愳㕥挹㈸改㡦攰ㄳ㔱㜸㐲㐸㝣㘹搳㉦づ晣昵㠱㐷昶昲㕥㕡㐰慢㈹〶㠲摢〹捥搳㜲㐰昸㌶㜲㈵㘴㌳㍦扦㌹㠴て㤱捣㠵㤲ㄸ搱ㅤ㘹敦戸㥡ㄵ㈶㝤挲㡢㄰愶㑦㝣㙢挱㤸挴つ〷摦㤸捣㌵㌸㌶攵攷㑢搲ㄹ㤸㡢㑣㕣㝡敦挲〰愱搲㔲㘵戵㘹㔷愶㝥〹愵㜳㡥ㄳ愹户〷㜹扥攴愳㈸㉦㌶㙡戵摤搴㙡搲㑣㔴〶㔱㈳㤴㔲㠸㌴㤰㐲愲㐷ㄶ㠶晥愵㤴㥡㐲㈲㤵〳㠸㠹愱㌵〶㜳㜹昲㕦ㄷ〲愲㝡扤慦捤㑦㔵戰㡢挰㘲攸㜵㙦昷散㑡慢㌳㔴㑤っ捡捡搳挷㕤㐸挸㘳ち㌳ㄸ愵㤵戹㐷㤰〸㥦搴㄰㔲慢㜶㍣㜱㤰ㅥ换て戱昹㡣㥤戲攸㔵换㕡晢散ち敥㜸㐰捦愴愵挲戰㌷㌲ㅢ㐷㑦ㄹ㡤昳慢㘶晤㉣挲㕥㍦㔹㙤搴ㄵㄴ㐱㘷搹摢㜰晥㐴㤸㡦摦〳戱㝣戰搶昵收挶ㄲ敡㌸扢ㄳぢ攴て昶搷㈵㌱㡣㡤㔱挹㌱㤰戰慢慡㤵昱㉦㠱㑦愳㠹戴攷ㄵ慤㤶攴㔸㡡挲㘸㜴挸㔹ㅤ㙡㤳晥㘷㥣㕡㜲搶っ㙢㌳㘰㕤愷晦㡦㈱㘳㐵晤慦㌰捡㈶㔱㜶㜷㤰攰㑢㡡㤱㤲ㄵ㠳㌳摣ㄱ昸戰ㄱ愶㤱㐷㘰㑤㈶ㄹ摣昶㔳搳昸㐴搵㉦㤶ㄲㅣㅥ慥㘴攳㈵㠸㙡㕢摡戶㕤㉤〵㈰愳㐰愹㥦㐳〴戵㙣捦㐹㌷㥦㘳搳昷㈰㝢搳㈱戳攰㤴摤戲攱つ㑣㈳扣㍢挰㉦捣っ搸㍣挳捡昳㡤㐲敤ち散㐴昷扤㘸㜳㜸ㄲ〲晢戰昰㍥慥愸㈳㘳〸慢㡢㔹昰㙢愳扥㐸㈰㠹摡挱㍤捦戸慢愲㤷昰㠱敡㈴扣㥡ㅥ戳搶㠴戲昳㝤换㡤㜷㌱戸㜵戸㡤㜵㈷㍣㍦愲㤴㐳ㄸ㑣㉥攱摥晢戸慦㡤㝢㔰㕦㌷㔸㥢换㥡敤㜹搷戲愹㥦〲愷慢ㅢ愵㥥㘴㌸㈶扦㍢捥㙡昷ㄱ㈲捥㐳敦攸敡㕤戱散慤ㅦ㜴ㅥ㝣戶㑤㤷搷㘰〹㡥戲㔵挴戹扦㠸愶捡敤〴昸㘹昹㈰挱ㄷ㠵晥扣摢㤸㜸ㄶ换㈲〳㈰㥤㐸敢〰慤愹晡挷换㔱戵挲愳〵愹㌰慢晣〸攵摣㈵㝦戵㐵收攱愸㈱㡦㄰㐸㙢㔱挹慤昰〸㈱挷㝦ㅡつ慡攳捦㈱户昵昸㍦㔸㜶㝣㉡㝦戹扥㘸晦㝤愱昲搰㡥㜳攸ㄳ〴㈵〲ぢ愰㉦慣搹㑢戱㐸㔹㤳昶㠳〸慦散㐵ㅡ捦㕢挱扦敦散㝤攳㜵㍥晦摣慢㐸㐱㠸愲晡㔵㔰㄰捡㔵㍣ㄱ㕤挵〲㜲㕢慦攲扢换慤愲㡦㌲㤲㌳搱ㅣ㠰㥥づ㠵戴㈲㔷攵㈲挱つ攵㑦㤱〸㐵愲㙥ㄶ㝤㐴慣㙣㕢㐱〲㙤戹昳戲敤㈲ㄲ㘱摢ㄴ㌷㈲收ㄳㅥ㘹ㅦ昱捡㈳扤㌶㘹摦敤㥡昶戵㘲挶ち晣慤㙢㐲㌶㘰㐹晣㈶戶愵㐸㑦户ㄹ换㔷ㅥてㄱ㜳昰㘰昸㝤㤴ㅡ㐴㤷㐰ㄸ扥㐵㑡㐲攲㐶㉡摦〸㉢扦昸㔲捤㌹㡡〲㍣愰ㅥ扦㌲〹㑥㔶㝥㉣慣扣ㄳ摦㕥挹㍡〹摥ㄵ攰昳㑥㔸㤹㠴㈹㉢㍦ㅡ㔶晥挷捥㙤搵捡㈱ㅤ晡㍤愷㐸㈴㌱戶慥戴晥㈳摦㘱昳㔰㥤㌲愸㍦扢っ㍦㥢㤲㔳〶㠹㑢㔲㠳㜶攳摡㠷㠳㉦愱㈷㜰㡢〹㤷㍤㈰㘴晤晦㄰㘱ㅣ户㥢挶㜴㑦挷㠷捥㡢〸㉢㍢㥡㝣㘳攳戴㌱改㈰愳搳ㄸ㜷㜱愶㉡慥㈹ㄲ㠱㌹㤰昴昷㜷〵昷㝢㡣改㔸摢㡦㌰ㅣ愶昲戶㐸㝢捡㐳㠶㔰㤲捡㈳㈱㘶ㄳ㘷㙡㌴愳㝤ㄹ挸㠱㤸〴㘴㐲晢ち愰ㅦ㜲搹挴㡣㍥昲扦㘴敥㌳㐸㘸てㄳ㝣ㄵ㈰慢㤰搹㐹〷改慦〱昴㠶晦ㅤ挵挰愲昴㤷愸捡㠳攱㘰㔱㌲搲扥捥〶㡦〲㜴挰㔱慢〴㐴㤸搵ㅥ㐳㑥㜴㔰ちづ㌹攸攳㉣昸㈶挱户〰戲㈹㑥㜶搵扢挶㌵戵愹戹扥㡤愶ち户㐲捡戱敦〴〹扥愴捥〰摣搶摡㔶收㔱㌸晣㝣ㅦ㐱捤扡敦昴昷攱扢晢㈵㉥扡〳晦敤㐸㑡ㅡ昶㐹昵㌳敤昵㐵㈶愰㑤㉥㝦づ㌶晢㈳昴挳㜵搵㙣㑣昶昸㔹晣㌲㙡㕡㜹ㄸ晦㥥挱㑦㌹㠹ㄱ㌸ち㌵㙤〶㙥ㄶ搲㠰㉣㔸〸ち愸戲戴㈷〰ㄴ攲㤸㜸搲㥥攴ㅢ㔱换晥戵敦〵〹扥㈸挴敢ㄹ㈶㑡㐱昳㜰㐰攲㕡ㄶ㥣㘸ㄸ㤰昸㤷〵挷愳〳㝥ㅦ戹㡡㐴ㄶㄲ昵㕡㠹㐸㑢㌲昷㈹㠰㥥㡥㕥捥㡤㕡㑥㍤慤ㄴ敥㉦摥㝦晦晢扤挹㠱ぢ㤲㥦扦扤晢愹㜷晥昰敥㤳㙦㝦㘱捦摦㍦㜸收㤹户摦㝢昲昵て㕥㥢摤昳扢攷㥥晢敤ㅤ㍦㜹晤摤㡤挶戳敡㑢敦㑦㍣晢攰搰㠹〷㑦ㅡ㐷慦㍦昰攰㍤挷敦ㅡ㥡㍡㙦戰愳愳戳昳㥡晥摦㥦㝦㙤摦㤹㤳㉦㉢扦昹搳㔶㕢㤱换攵㠰㐷〰挲愷㡦换㤶搳昸㈱ㄲ㤸〶㘷晣㠹㑥㠳换㍤㠳㥦㔲っ㌶㙡〴㉦ㄹ昸㌴㌸〱㔹㔰愸㉦攸晡て〳戸戳ち</t>
  </si>
  <si>
    <t>Decisioneering:7.0.0.0</t>
  </si>
  <si>
    <t>591af63a-a786-40c3-acbe-8924f4d9752f</t>
  </si>
  <si>
    <t>CB_Block_7.0.0.0:1</t>
  </si>
  <si>
    <t>㜸〱捤㔹㕢㙣ㅣ㔷ㄹ摥戳扢㌳摥㔹摦㌶㤷搲搲ぢ摤㤶㔴㌴㜵戴搸㡤㥤㑢慢㈸昱㈵㑥摣摡㜱㥡㜵㤳ㄶ摡㙥挷扢㘷散愹㘷㜶摣㤹㔹㕦愰愲㜹慡㡡㄰戴慡㄰㠲㕥㈸㤷㑡㐸㠰搴㈷〴㉦ㄴ愹扣昰㠲〴〲〹〱ㄲ攲つ愹攲愱㤵㈸㐲扣㠴敦㍢㌳㙢敦㡥搷㡥㤳〶㈹㈷搹㝦晥㌹㤷㝦捥昹㙦攷㍢挷㈹㤱㑡愵慥愰昰挹㤲㈵㜳㘷㜹㍤〸愵㕢ㅡ昷ㅣ㐷㔶㐳摢慢〷愵㔱摦㌷搷愷敤㈰捣愰㠳㕥戱搱ㅥ㘸㤵挰晥㤲捣㔵㔶愴ㅦ愰㤳㤶㑡攵㜲㐶ㅡ敤捤㕦愱挹ㄸㅣ㘵㘴㐱㝡搰㉢㌵㌷㍥㌶㍢晦ㅣ㐴㤷㐳捦㤷㠷㡡ㄷ㈳〱㈷㠶㠶㑡㐳愵攱愳㐳㐷㑡㠳㠷㡡攳つ㈷㙣昸昲㐴㕤㌶㐲摦㜴づㄵ捦㌷收ㅤ扢晡愸㕣㥦昳㤶㘴晤㠴㥣ㅦ㍣㍣㙦づㅦㅢㅡㅥㄹ戱㡥ㅦ㍦搶愳㐳昲戹昱戱昳扥戴㠲ㅢ㈵戳㡢㌲㘷挷挷㑡攷㘴㜸愳㘴收㈰ㄳ㈲㈷㍣搷戴敢㌷㐸愸㐶〵㡦㑣挸慡㑤㑢㐸改摢昵㠵ㄲ愶摤愶㘸扣ㅤ㉤㡤〶㐱挳㕤愶㔱挷愵攳㕣㤰ㄶ愷㘳戸ㄳ㐱㜸摥昴摤愰挷愵晥愴㉦敢㔵ㄹ昴戹愷搷慡搲㠹㍢〶㌹昷愲改㥦㌳㕤㤹㈵搳敦㐶㌶㥣慡挹㝡㘸㠷敢扤敥攳㠱扣㘰搶ㄷ㈴扢㘸敥㤹㠶㕤ㄳ搹㉣晥愷㌲㥦敢㌴㌳㘵㈸捣挷ㅤ㕦㌴晤㔰扤搱㠴㐳㥤晡戶戸㡢㕡㐵摢扣攸㔲挵挴㈸摡慣㙣扢㡦㑡扦㉥ㅤ㝥㠴㤶ㅣ㐸㜴㔲ち㡡散戰愱愹收㜲愸ㄶ搱ㅤ㐷〲搷挲慦攸〶挸〳㜳扥㡤㘵㌶ㅣ搳㍦㌴㘳搷㑦っ㤵づ㡦ㅣ㥡戶㤷愴㘳换㈰挴敢挸愱ㄹ㜳つ捦㈳㈳㐶ㅥ晤㡤㙥㡥散〱挹㑣つㅤ㌱㝡㔹搵〷㈲戲ㅦ㈱昲㕡㍦挱㡥改㡡㤹慥捣愷㉢搵㜴愵㤶慥挸㜴挵㑡㔷ㄶ搲㤵挵㜴挵㑥㔷㥥㑢㔷㤶搰愷㔹㜲㕤㕤改戸摣晢挱攱扦捣晣昵㈷㘷㝦昵挲て敥㝦戹㜶攰㈳挱㘰㔳戱㕡〰㜳㉣㌱攵攱搲昰㔰换㤴㠷㑢挷搵㤴㐷㑡㠷㡦て戶㤶㈳挶ㅥ㡣㌶昶㠲攸晢㐰扡㑦搷愵扦戰㕥㝣晦攷挵㈳挶㝥㌶摤〲㈲挴〷㔸〸ㄷ昳摢敦晤㑥㥢っ㥦㤸晤挵挱愹㥦扤晢搶㍢敦昶摣㡡收挷㘲㈵㑥昸收㉡摣㜲搳攳ㅦ㉣つ昲摦搵㐳ㅤ㤱㙥㡤㔸㐷慤愱愱摡挸愰㜹搸搴愸搶摤晡ㄴ搷摦㘳㕤戲敢㌵㙦㔵㌹搹㥤㘳㘶㈰㌷㝤㙥㈰㙥ㅢ昳ㅡ昵㕡㜰㐷攷挶㜲㘸㠶昲昶㘴摢愶㤰㉤挳捡〸㐱ㄹ愸敦㝤㈶㌹散愲改㌴攴攸㥡ㅤ㌵摦㤵㘸㐶〰㝡昳摢户㑥晡昲昹㡤搶㉤㌳ㅡ㐵扡㕥㔱戲户慣㌲㙡㡡收㔵ㅣ㕦昴〲㔹㔷搳ㅢ㜰捦摢搵㈵改㤷㈵㤳扤慣愹愵摥挲愶㌸ぢっ捣搶戱㔰挴㜵敤摥搶㕡敢昴㕡㈸敢㌵㔹挳㝣㤷愵ㅦ慥捦㤹昳㡥晣㔴㕢㤷攸㥢㘸昸㜴㕢昵愴㔷㙤〴攳㕥㍤昴㍤愷扤㘵戴戶㘲㈲昳搴㘶扣㥡㐴攲挸戲愴㐴㉡㤳ㄱ㈲昵㐰愷攸愵摣愰愴っ搱㘲㘲收㤱摢摡摤慥㜴〱慢挳㉡ㅣ㐹㥦㑣ㅦ戸㡡㌰㈵㤷㘲づ㙥摦戱㘵㑤摣ㄹ搹晢晥敤㝢慢㌹㙥㔸敥晦摢㌹㥤摥ㄷ慦晥昴ち戲昳㔹戳㕥㜳愴扦攳扥㉥㌸㈳攳㌶㄰敤ㅦ㠸攴㙤戵挷扣㈲搶挴扡戶㙡搷挲㐵㝤㔱摡ぢ㡢㈱敡戰昷攷㜲㔴敤㤶㘲摣㡥㉡攳づ㤲㍢㐱昲昹㤴㝥ㄷ㍢改㜹攳㌳搱扢挶挴㜷敤㜹㥦攸挲㔰晢っ㐰㐱愰戹㤳㥥ㅦ㘴㌲㥤㔶㜹搶っㄶ㐳扡攷㡥㡤捣昰挶摤㈴㐵㄰㡤㠹晡慡摢㑡㍦㍡㘵戹㝢昶扡ㄳ搲㌲㠱㔹㔴㜴ぢ㔳㜳愳㙤㜰㐲〶㔵㠳晢攵ㄴ㘲㘵㑤〷㠷攰敦㜱改晤㜲㉤㥣㌰㐳戳换挵捥ぢ㉢ㄹ攸㌴愰㐶㐵ㅣ㐷昶慡扡收攸㝣晣〶〹〵挵戶㐸改㔶ㄵ㤱㈴〴づ攲㈵㤵㠹改捥㡢挰摣戹㌷敡㐹㐷㙦摦㐱戱戱搷捥挸晡摣晡戲っ搸㍤愷敦愸捡㘴㜸㔱搸㙣㜵晥昱搰㜶㠲ㄲ㘶㝡挶昷ㅡ换㌷㔲づ㘵ㄹ昷㠰㌴㡢昶㌷㜸昱敥搷㐴摣摢戵㐲摢㔴㉡愹ㅣ愵戱挶攰慥㙤搰㕢㈱散ちㅥ慡ㄸ昷攱㤱摦愹㑤攳晥㝥㉤㘸㠳慥搷攳㐲㐳㜳扥㔴昸㈹愷㕥愰敤㕥昷㤲攷㉦捤㝢摥ㄲ晤愹㑦扤〵㡢㔲㠶挴㈴摤㌱〶㔳㔸㑢㠸㑣愶つ㑤戴㠰ㄷ愲ㄹ晤㈰㐸敦愸攳ㄴ㥢ㄲ〳晤〱㔴㘵㠰㡥昴〱㌰〷换㡤㈰〴㈶㌵攷㙤〷㠰慥㘸昹昸攲㉡扥㕥㥣㤹㥤慢挸㌵搳㕤㜶㘴㘹捤〹㕣昱㐷愸㠳ㅢ晥㐳晦扥晤挹㤷㝥昴敢㔳㍦㝤敦慢〷晥昵攷挶攷挵ㅦ攲㠶㉤㜸㠴㐰㐲愱愱ㄲㄸ昱㝢㜴㘳㥡〱摦㕥㡣㐱扣ㅢ㐳㈴て㠲㈰㔹㈸昵㈳㔷っ㐷慦㠲㘰㠴昹挲ㄸ㈱㌹〲㈲㠸㐴ㄴ慣㍡ち愶㔹挴㙦㈰㥦㑥愰っ㐹昴戲搵㤰て愳㌶㙦散搰㈶㠸㙦㘸㑣㠳捡㌳愸㉥㠳慡ㄲ敦㐱㜰㐷〵晣㌲㙥㐸㐲㈱㡤愹昵ㅡ戶㌰戵㐴敢愲㉤㔷ㄹ㜳㝤ㄶ挰昵㌸捣攳愹〴搱㙢㑤㜸攷扣㜰挲づ㤶ㅤ㜳㝤㥦ㄵ㌳㤷ㄶ㘵ㅤ摢户㡦㕤㍣㔱攷㉤㉦换㥡㘱㤵扤㠶㕦㤵㔳ㄳ㌷挳昶づ㜵㐰㡦㙡㘷㑦ぢ㤴敢摢戱㈰㐲挰㑢㔰㔲ㅡ昷㤹㘴攲㔱㄰扦〵㈴㈸㤶㤰戰㝦㔳愳㜳㜶攸挸㙥㑢㙤搰㡡捦㔹搰㈲㌰㔱慤换㥡㕢㐴㐰㑥昴㕡㘷㝣扢收搸㜵㐹㘳散㡦扡㑥换〵攰㥦昳㕥㘰昳㌴搵㙢捤昹㘶㍤㔸㘶㉡慦慥敦㙤㝢㔳㌹㕦戳挶散㝡㠰捦㈸㉢㤲敦户捡㡢摥㉡㑥搹つ户㝥挶㕣づ㙥ち慢㌰㕡愲愲㑣㈳搲㈲㥤ㄶ戹㜴敥㝡敤愳㑦㐰摡慤㥢攷㡦㈲㝣㌵昴敤昹〶㤵愶㍥挴㌸捦㤲㈸㍢愶㌴㈲㠵㘴攲㙥㌱㘳〲㜵㜱扥㙤㠷搶㡥〰㘰攳晡㐲愱㥣搳ㅣ㌳〹昲挸㤹挷愷㌶捦㈳㥦攸晡㐱㈳戶搹㌵晣㔳㘹㈵㜲㈳㐲㐲㝡ㄵ愲ㄳ摥挰户愴㙢收㉤搵㠷㕥摡户挹㑥〲㐱昴㔸搳收扣㜴〰㝣㕣㌳散㡢㕥㠸㐰㕤搳〹攲戶㜱捦㜵㑤扡ㅤて搹攵慡改挸㥣㌵摡〸㍤㥣㕣つぢ㐴昹㘶㕣㘵慥愱捡㕣㡢㈰㡡㜵㠱〷㈲挵㔳㤶户㘰晡㜶戸攸摡搵ㅣ㕦㜸㘸戹㈹晣ㄵ〹㠰㤰戴㔹㥡昹㈴㠹㜹㈲攴〱㜳㤷㜰㑣愰敡㘸㝥㜸㜵㕡攸昸㈷慥ㄳ㉦㈳昹愸㑤挵㌸ぢ㘹ㅡ昱㈸ㄲ㔹㌴㤵て㥢㜷㙡ㅦ扥㠸ㅡ㤵愰〴攱㉥㥢㡤愹愸㡦愲㔹㈲捥ㅤ挱ㄴ搱㐸㝥摡㌳㙢㤳㘶ㄵㄷ㘶㕤昱㜵㔹づ愶㘵扡昱ぢ㠴户攳㌸㌱攱㈴戶㘲搷愴㥦㘳㐵ㄹ㜷㜳㔹〲㘳㍤戲㈱㌶晡㑣㑡搳扡㜳㥤扥㌵搵㤴㜵㈰〶つ慤㜷㝦㔳㕢攴晦昳戱㘳㈷㌹昹㝣㕥㕤散㍤〲搶㜸ㄴ㐴ㄴ㐱戸㥥㐴㠷㘹㔴ㄹ㌳㈰摡㍤㈰㐹摢戴㈳㑤攰㔱摥戲㘴搵㐵ㄳ㌱㜰づ㜸㔱㠱㘷㑤㉤愴扢〵昴敡ㄱ摥捤㌵㙦慦昴㌲扣㕣搶昲㔱㡥㈵戸愶㌹搲改㉣㑣慤㈷㉦っ戶㝣ㄶ挲摣戲㔴㘸㔸㔰攷晡㌹㤰㙥〶ぢ攴㔷㜸㜷㤳㐴㠲昹扣㜱ㅥ㝤㔲㜹㐱㐸搸㕣㌸㜳㑣㍥慦㄰改㘳㘰㡤ぢ㈰㠲戰㠷㄰㐰㜹㐸戴㘱〹㘲ㅤ㙥㕡㈹扤っ㜲㉤㐹㔲㄰㈱愹㈳搵ㅣㄸ挱散挹晣戳攱㡦ㄷ挱㕦摤ㅦ〹愹㤴㍦㕥㡡ㄹ扥〸攲慡收㔲挰㌶㡤晣〴㔸攳㐹㄰㐱捣搵愱挳ㄷ搸攱㡢散㐰ㄸ㐶㐳敢㑦㠱散㙢㉡戰昵敥愸㠳㈲㥦㐱㕦㈸㤲㤰慣㈹扣㐵㤱ㄵ㔴ㅢ捦㠲〸㈶㙦㌵㘹㌳㘶攸㠲ㅡ〳㌰改㔷㕢㘲㥥㠹㈲㙦㌱晡换攱扡㠳㡣㑢㤶㝥ㄶ㜱㡣㤸愸ㄹ摥敦昹戸ぢ捦㈶㡦挱ㅢ㘳㜹搲敤摥㥦戸㘲㔰挳搸挲攴愲㝤ㄷ㐸㜰摢昱㕣挱收㜹㠳㘳㔸昴㉡挸晥ㄹ扢敡㝢㠱㘷㠵挵㌲㄰㐵㤱㔷㌶㔶㉡㌵㌸慡扤〹㠹ㅤ扦挹㠵㘵敢扣㜶㕤攱ㄱ㈶扦㔴昷㔶敢㙡㌶ㅡ㄰㝤㈸㤵扥扡扡昸ㄹ㘲㜰㔵㍥ぢ㉤ㄶ㥡㠹愸挰㄰㘶㈹㌰㡣㔹ち㡣㔹㤶〲攳㤶㐵愳慢敦㌶㠸㌸㈳㌱㉦慡愲㈶㘴戶慢㑢摣㤷戸ㄸ搹ㄲ㝣ㅢ㈷㑢㕤㘷攴㘸㙦㘰慤扢ㅢ搴慥㑡づ㔶ㄷ〳㔰㔹捡㔸〰挹ㄷㄸ㠵㥣㤰扥〸戲㜷㝣慣㠲ㄳ㑦昳っ㐴昳敢㌶敡㝢㔰慦ㄲっ敥挴〳晤㌹搴散㐱㑤晢ㅤ户扥㠴敡㍥㔴户㠰㤰〲挳㥢搲搵挱㐰㕤昶ㅡ〴㌶敡敥㔷愸昰攴摢㌲〸㘷㑡㙦ㄵっ㑦㝡慣㜸〵慢愴㥦㠰㑦ㄹ㌴㍥敤㉣扥㡥ㅡ摡扡摤㔶㤷搰愸扥ㄳ㠲改捤ㄴㄸ㤰㉣〵〶㈵㑢㠱ㄱ挸㔲㘰ㄴ戲〸〶ㄵ捤㈶扥〶㜱㔴愹㔲捤ち㙡㡣㔵㤰㝣㠱㜱愵㠴㔲㌵〶昵㘰㜰改〶ㄷ㕡㜸ㄶ㘴㜳㘵㝢㔹晦ㄵ㤲㍤㈰〵戳搹㜸ㄹ㑣㙦愶㥦晡搶攳ㅦㅥ捤昲攱挹㤸㍢ㄵ㍤㜳昱戳㄰㍦昷㥦敡愷㤱搴挸愷挵㍤慦㡤㙡㝦㝦昱敤㡦㝥晣昰㝤㙦扤㝢㈵㝥扥昸晡㜷㔸㍥㡥㈵晤攷愴愵捡㝦㑦ち敡戹て扦攴改散〵慣戴攳改散换㜱㐳昲㜸㕡愰㜹搴㔲㕦〲搳㥢搱愸攳㠷ㄳ㍥摢ㄹ㠴づ㈴敦㐱㑦攳㕥㜳㥤㝡捥㘰昷㡤昶慣㙣晡愱敢㤳挵愸㘸㉡㔵㕢挷攴㍦㠱㥣昶㌸愱搴扢昱㌳㕥〶改愷㐷㌴扦〳戶㔹㜶㘱㍣扡㤱ㅡ戹㥤昱摥㔹㍥㤱晦搳て昷㥣㡡㡣戸敦搴慢敦㝦㝣晦㔳慦摣㜲㑡搰㤵㍡ㄹ㉦摣捥㜸㐱摣戰攵㘸㝤ㄹ㤲慥㜶戴㙥戹㤰攷㥤㥤㘶㌱昰扢慤愸㥡㙡㐶收户ㅤ㐷㈵捤ㅥ愰㘰ㅦ㔷攲搳㌸昰〱晢攲敦㐸㜱ㅡ挰㐱㤰愰愲㠹戳っ昵愶㙣㘴捤晡〰㕥㕤搶㔴㠰㠳㝡㉤㠷㉢扤㌰挴摦㥥㙥〶㠸㡣㙤㉣㑢㜷㈴〰〴ㅣ㑡㜷摣㐱戸㌵散㜰㝡搹搴㐷昳愶㍢㑤昰㝣㝤㘷㜶晤ㅢ昸㔸㉢摡愹戵ㅣ〹戳攲㜹㤸㌹捡㝥㤷㔳㔷㌸㙤㈶㜴攳㔵㍣搴晤㡢捡愲㈰㜹攳㌵㔶ㄱ㐹㈸㤲ㄲ㉦㠱扤㡣㥦晥㑤㤰敤攵㉦㜵㤴晦㉤㡣㐹挸晦㌶慢㌶攵㙢㡣㤴愴昲㠸ㄹ㈶愹摤挴㝤㜸㜷㌷㌵摡㉣ㅡ㘷扦㙢昵㌲㔰昷挱ㄱ攳㍦扥昳愸㌵攰昰㑦敦㥤㤰㝢晢挹昶㜵っㄵ搴ぢ㘵ㄸ㙦挴っ㕦〴ㄷ愸㤴昸㈶摦戸㌶搵攷慤㤸㔱㝤搴㜰㔴戴ㅤ㔰ちㄴ愳㜲攳摢㘰㝡㌳㐲〹搸搲㡢㠲㔴慦敦㐷扤搸㤹㔹㔴㍣〳㝤㌳㜵㡤攱㈵㈷㔲㠲敤慡攱改昶㠶敥晦〱㉤㜳㍣㘵</t>
  </si>
  <si>
    <t>2064e1ed-4ab9-43f2-92b5-2f722344881e</t>
  </si>
  <si>
    <t>㜸〱敤㕣㕢㙣ㅣ搵ㄹ摥ㄹ敦慥㜷搶㜶㙣㘲㤳㤰〰挱摣㉦㡥㤶㌸㈴㕣㑡搳攰㑢㙥攰㈴㈶㜶㐲ㄱ愵换㜸昷㡣㍤挹捥慣㌳㌳敢挴㌴戴愱愵㔰㝡㔱〵㤵摡㐲㘹㡢㔰㠵攸㐳㉢搱〷〴㉤㝤愸㔴㠹慡㠲慡て愸㔲ㅦ㉡㔱㔴戵慡㕡㔵㤱晡挲〳ㄲ晤扥㌳㌳扢戳扢摥戱搹㐰敢㔴㥥㘴晦㥣㌹昷㜳晥敢昹晦㌳㐹㈸㠹㐴攲〳㍣晣㤷㑦㤲㠹换愶ㄶ㕤㑦㔸戹戱㜲愹㈴ち㥥㔹戶摤摣㠸攳攸㡢ㄳ愶敢㜵愰㐲㍡㙦愲摣㑤攵㕤昳㘱㤱挹㉦〸挷㐵愵㔴㈲㤱挹㘸㉡捡搹〹㝦㝤攱㡢挶㔶摤㐹㠰改戱搱挳㌳挷搱敢㤴㔷㜶挴搶挱㘳㝥摢㕤挳挳戹攱摣㡥摢㠶㙦捤㙤摢㍡㌸㔶㈹㜹ㄵ㐷散戲㐵挵㜳昴搲搶挱挹捡㑣挹㉣摣㈳ㄶ愷换㈷㠴扤㑢捣㙣扢㘵㐶摦㜱晢昰㡥㥤㍢㡤㍢敥戸扤ㅢ㐳㈷づ㡤㡤㑥㍡挲㜰㍦愲㍥㔳㥣昲㡥㜱㔱㌰戹㌶㈱ㅣ搳㥥捤㡤㡤攲㙦㘴晥㜸扢㉤㌷㌵㈷㠴挷愱㠵㈳散㠲㜰㌵㌴散戲㐶㕣户㘲捤㜳昳㌴㙢㉦㤶㕡搰㕤㉦㘵㡤㠹㔲㐹戳挲㕥㌳搶㘱散㕤㐹㕦散戶愶㠴敤㥡㥥戹㘰㝡㡢㘹㙢ㅡㅤㄵ㝢慣愳慥㌸愲摢戳攲㤰㙥㠹㤴戵慦㘲ㄶ㤳晥㤳攸戸㍥散㈲㍡㌱戹晣摣㠸㙢㡤捤改㡥㥣㤱换㡤㠹愹扢搷㈹搴搷扤扡㜵扦㥣扡ㅣ㠱㝤㕥摢扡ㅥ㑡㡥改㑥戵收㔰敢㥡挱攲敢㘷㜰㜳敢晡㤱㍤慡㙦㜳㘳敢㌶㜲㉢敢㙢㉢㕤〱㝤换ㅤ挵㘲戴㌴㐱㈷㐱㠶㠰〸搴戲〴㕤〴摤〰㑡昲摦攰㤲㘸㐳ㄶ愹㜹㕤捤捦愸昹㠲㥡㉦慡㜹愱收つ㌵㍦慢收攷搴扣愹收㡦慢昹ㄳ愸ㄳ㍥㤹捥㑥㌵㜸㥥㝤改㤱扦㑦扣㜱㙡捦户㌷㍥戴攱敤つ㍦ㄹ散㕥㠷㑡昷〶㤳ㅡ㜷昴㔳㈰戵ㅡㄵ㙦捦㙤攳㥦攵戹〲㑣㘱散㌴㙥㌳㠶㠷㡢㍢户改户攸㈹㉥㉢〶昹㜵㠴搲㠷扡摤挶㝤愶㕤㉣㥦㤲戸扢㙣㔴㜷㐵㙤攳㠶㠲戲搱㜲挵㉥扡㤷㉥㕤㌸攵改㥥搸摣㔸㔶敢愴愹搹ㄴ搸㑡戸㜲扣㉤㡤捤㡥改愵㡡ㄸ㌹㙤晡挵㤷㌷ㄴ㕢㤳㑥㜹愶㜵改㕥㐷㥣慣㤶㌶捤㘸〴㐲㙤㐱昶摤戴㑡扦挸㥦搷攰搸㕣搹ㄵ戶㥣摥㤰㌵㘹ㄶ㑥〸㘷㑡㔰㈴㡡愲㕣敡挵㉣ち戸㝥攸戰㡤㠵㠲㕢㡢㔷㐵㜳㡤㍤愷㍤㌰戳㈸㘲扥昳挲昱ㄶ愷昵㤹㤲搸㔰㔷挵ㅦㄳ〵㥢敡戲昷㤶ぢㄵ㜷慣㙣㝢㑥戹㔴㕦㌲㔲㕣搰㈱㘹㡡〷换㐵㤱㑣㈶愴㔰㠰挰敤攸㔰㤴挴㑤慤㜹㐱㈲㈲㠲㘲㌲昲㈵昵㘴㤷㍢㠲搵㘱ㄵ㈵㐱㥡㔴慦㔹愶㌳捥㔷捡㤸ㄸづ㡣慣㠹晡㠳㠳摥戰㑣户㔵捣㝤扣㤵㔵戵㍦㔸晤㥥〵㘱㝢晢㜵扢㔸ㄲ㑥慣昶㔳㌸㈳慤ㄷ㈰㜵づ〲愱攵敥㔱搵㈹愷㤵挵搴㈹戳攸捤愵攷㠴㌹㍢攷㈱てㅡ㌲㤳攱搶㌶㍤摡㐵挸搲搶ㄳ昴〳㘴戳㠹昴〰㉢愵戳㜸ㄲ㈹㑡愷ㄸ㕥慥ㄳ攴㙣㔷挷换摤挶㕥戳攴〹㕦㈸昷ㅡ挰㠸慦搵㈴晡㝡㐸愲㡥㕥昰ㄵ挶㠰㌱〶㉡搵㑤摢㕢慣昱㙤ㄳ㤷昸㐴戴㈶ぢ㔶㥤㉣愰㈸愸㤷〷㌱扣〶愲㘹㤰〶昱㤵㈳㐴㐴㌶㠸搱散攸戹㥥挸㔸㍦㐶㐶愰㝥㤴〸㔹㝢㕢㙢ㄹ㐱㘲㙦㈶㔲㌶㙡挹㡦㙢搲㙣㈹㕢摥㤷㘶ㄷ㘳攳戴つ〴ㅢ〹㉥㈱搸〴愰晣ㄵㄲ㡥㔲づ改晡㐷扢ㄴ敦摡㘵〴㤷〳㐰㍥㘹㤴㌹㠱愸愲つ戵ㄲ㍢㤲昵㝡㘰㈷㑢愳搸ㄷ㐵戴㡣慢㜶㘶㡦㈵ㄱㅤ㔸㥤慢㐳搷㈶愵㡥扤慥㌵㙤㐶㤷㐳㡡㡣愹ㅡ㕤敢㌲㔵愳ㅢ挱慡㙤敡慤㉢搰㔴ㅢ㈴戸ㄲ挰㔷㉣㌴㜶㔷㘶捤搳㥣扣㈰㑣㈲摦㄰㙡㔳戹〷㐴㑣昳㍦㐶挰㌵ㅤ㕤搶散㘷㥡㠲㐳挶〵㙦㍦㙦㙤捤摢〱搲ㅢ㜴收㥡捥愱慦攸㐳㕡搰㔷㠱扤㤴㍦戵搴㉦搷愰㔸扢㤶攰㍡㠰〶晤挲㤳昷㠷昵ㄲ㐸㤳搸㡡㘰㙥㍤㍤㉥搲挲㥤㕥㥣ㄷ㔲晢㜴ㅢ搳扡㌳㉢㍣㜸㉦づ㡣挳づ㉥㍢㡥㈸攱㐰㕢㤴ㄹ㍣扢㙣慣捦㜴昷㍡㘵㡢昹㙢昶戱㝢㐱㈸㠶㘴㔲敤㐸㌴搸挷㌱㜶㘶挴摦ㄴ愱ㅣ敡摦㕢㕡ぢ㠹㐸愳㝡昲㘲扢昸戳攵㥡㈴㘹㐳㤲摣㠰㙤搵㙥〴㠰㤴㔰晥搰㔲愲っ戱摡㔶㔹慤摥㕡愵㜷㉦收㘴搲攰㍦㙣㤲㈳㕤扥戳㜶ㄴ扥〳户挷㥡㌲慤慡戰攸戲㈶㠵㔳㠰㕦挱㉣㠹慣敦㤲愵愸㔹㤳ㄵㄷ㠸慣攸攸㘸㍡㑢挷昸搶㈴㥤㌴㐸㠹㔸㙥㡦㉤㡣㌹㠷搷㠸㡡㉥㐸ち㤵ㄸ户㔰㔵〲㤱昲㔸㜷㑤挴戴㈱㘲㜲搸㌸敤㘶㠲㙤〴挳〰愹摦㐱搲慣㜴攳ㄹち敢㕣愰㍢㍢㥦㑦㘴㠸〶改ㅥ㝣慢愵戰摡挱㘱㜶ㄲ摣ち搰㘰晥搰昹ㄸ㐳㠸ㄲ攵ㄱ㐲愴戵愴ㄹ挷㑣㜱㡡㌴戰捥㐰㔰㘹慣攲㝡㘵㡢㔱愵ㅥ㘳扣㝣愸散㡤㥢敥㍣愲㔰晤㐶㤰戸㙦㑥搸愰㉥〷戶㑦㐳㕥㜹㝥㕥ㄴ㌵㘳慡㕣㠱㘸㍢㌰扥ㅡづ攵㔸ㅦ㙣㐹㜹㉥㔷ㄵ㍣敤㥤㡤搱㠵㈲㑦挴昰戵搲ㄳ扢㈲捦㌷て㝤扤戵ㅤ㥤㌶扤㤲攸㌲㝣愶㘳㍡㘳㘰ㄷㄱ㌵㈸㜶ㅡ搳㜳㡥㄰攳㍤挶㍥挷㉣㤶㑣㕢㄰ㄹ戰㌱ㄹ愸㥢㄰戳㠸㄰㑣㤶ㄹ晦㉢摢㍤挶戴愳摢敥扣捥㘰攲攲晡扡㌷ㄹㄲ㐹ㄹ愳愶敤㘲ㄸ㠹㐵愶㝢㡤愹戹昲㈹㐴㙢㉢㤶扤㑦㥦㜷㔷〵㔶㐸昴晥㈳㔱愳愸㡡慡㉡ㄹ㌵搳㉥㝥㜸㈰㑦㈴戶攳㤷㈴㤰戸㑡愴攸㉦㡦搱摥戴敢㠳昸っ敤㜴捥愹ㅢ㤱愳㙡㘶㐷慣ㄴ㈶愷㙡户戳捤ㅤ〰㜷敦㍢㝡愰ㄶ㤵㍢慦㜸㜵㡡ㅥ晥ㄸㄹ㉦挹愲ㅡ〴愱㝦㙥㥤㑦㉡捣㈳攵㠰〳㠱㜱扥㌵㤲㕦搶㤰㜵㐸㝤敢㙡挹扤㠸㈲㜵ㅢㄳ晡㡣㈸㈱ㄶ㙤改摥㍡晦㠵㘶慣愵㤷摣愰㙣慣㙣㔹㍡㐹㡢㘴㌹㔵搰㐹挱㈳ㄵ慦㝣搰戴㌵〳㐰搲㕦㤰愵㥦㐶㤶㝥㕡㘶㜵ㅢ㐷ㄸㄶ㤴㘹昶㔵㥥搵ㅤ搳㥢戳捣㐲㠶㉦っ摤慤ち㥡〴㤳㔳昲㠶㑦㈸㌳〶ㅢ慣昹愳㌰搹摣ㅣ搰㥤㠳ㅣ攵搶ㄱ晤愰㕣㔵㐹攳㡦搲愶㘳〹〲㐶㝡㐹戵㍢搱㕢㑡摥㡣㠰挸㤱捦戹昰晥挵戹㉦㈰挷昷换ㄱ敢㌱㈴〲㡦㘰㐴挸搳扤㥤㌶㡥摡愶〷散ㄱ㘳㝢㑤㙦摣〵捡〱㤰㤴挷摢捤ㄲ慢㤱㐶㐳㔵慤㜰㐵㜳㔱㥤㥡搸搲㕣ㅥ搵ㅢ搷㉣㔱散㙢㤴㠸㈲㔹慥㤲搴㉣㑢捣㜱㌵愹ㅡ㐵㉡敥㔰摢㈸㜱㙥搳摡扥㔳㡡㥣㠷㘲㤲㌴㤳搰㜶㐹㐲㐱㤰㤷搴〱ㅤ㐵㝦㝤㍣㜹㐴愲㌵戴〱戲搴㔳㝥㕥㑦㄰づ㍣㠰㉢㈷㐵㤱つ摥挰摦敢㠲攴攱㡡㔷㔷愲㥦敥て㑡㐶㑡愵挳㌶慣㠴㠲敥ㄴ㔷〹㑢㘳㙤扥㠶㤱摣搹慥昶昷户㌷挲㠸〱ㅢ㌲㈴ㄲ攳〷〶ㅢ㠲戹㈲搱㔴㕡㘷㍤摣敡㙡㜶㠶㙦〷㠵㙥㑢っ㑣㜹挵㜱戱㈰捤戰㥡㈵摦㉦ㅢ㔴㑦㡢㔲㡥㙡挶挸㡣ぢ㤵敥㔱㡥〷㈹挹攰㥡㜱㠴㙥㈹㕣㘰㠰搸つ㔲㤳〵て㘱摤㙡〷㍣ㄹ慣ㅥ散㘰㐷晣戰〹慤㌳㑡搰㜴っ攱搶㉦㠲扣搳㈶㐶㈱㐸つ昹晣㙢户昲散㌳㝣㝥扣㍢ㄱ㈶〲㈶㘲愸㉢挶㝡〰㜲愳㔱㐹㜲㔱㝦ㄸ㉣昷㈵㥢ㄴ㕡摤㘱ㅥ㑤㡣ㅥ㥡㝣㡥㠷ㅢ㍣㡣㘳昵㤲㙤㑡戸攳收㤹搰愶愵挵㜵挶〱扢㔰慡ㄴ㠵㔴挵愱慣㤶ㅡ㜹㔵攰㑢㕥晦昳戹㈹㘶㕦㠲㑤㌹㠰愳ㄴ㤷㑣㈴戵㙦㜷㙢㥦㐲㜳㈹攴搰㠷㉦摢ㄸ㝣㡣㜱换挹㘰㔸搳ㅤ〵摡㠷敢㙢㤷ㄷ攴挵㌹㠸戴愶㉣捡戲〹摣挵慢㐶㤰㈵户㐵慡㑤㤴㈷捡戴搹㈳㔹晢㑤㍦㙢㔵攰〸敢昴〵㕥㍡つ㘳愴㑤敥㘰㈷㠹㜳㐱㘴昷摣ㄷ攴㙢攲摣敥挰昸㔰ㄸ摦攵㈹㈸㠱㕤〵㈳搱攰㔶㙢㔶户挲挸㉦㉤㙦敤㉥〰㠵㈱㘰ㅡ戴愸改ㅢ㌸愳㐸㉦㙦攰㌰ㄸㄹㄳㅤ㡤〶㔲ㄹ愳散㠷挳ㅥ㐸〳㌷昱㈰㍤㕤㠶ㄲ昲〶攴愵戰昰㕥攲㤰㠵㈳㔰搹搹搰㤰㌹愹㝢戸晡㘲㙦㙡挸ㅥ㈹ㄶ㘹敥挲㍦户㉡戰㡡㙢ㅢ扥㌹㍡搰㜰㈱㑢慥㠹昶摤搵つ〵挱㐵挱敤攳戹晤扡㔷㤸㥢昲ㄶ晤㑢㕢敤㤲㐴敡㤷昰㐷㉣㌹㍡㙤收愴捤㑢愸ぢ摣晢散〹扢㝣捡㤶昳㑡戹扣昱㐷㉢㔶敢散攴㈴戳㠹て昰㐷㍥㙡㈲昵㍡㝡㕣挹戴搹㐱捤㐱挲㝥攴攳㑢㠳㐱愴㘳攸〴戶㝢昵挶〰改㘴愰㠱㑥愴㈰㔸㈳ㄴ㝢昶㈳㈳ㄴ攵ㄷ㐰㉢㠹挵㍦㤲㘳捦㕦〴敢㉢㍦㐷づㄱ㡥昷㐰㡣愴慥㐴㉡〶㜵㔲㤰〷搷㍢㜸ㄹ攴晦〷㑢㈱㌷㉦挹㑥晦〵㘶㔶㕥㙢㐴搱ㄶ愲攸搵㘶ㄴ㌱㄰晢愱㐲摥㥣晤摡㔱昳㘳扦搶晢㍦㍣㙡摥つっ昳㤱搶ㄸ㠲㙡っ挶㔷㡤㠱㡥㈶㘳攰㕡ㄴ㑢㘳攰ㅥ戶㘱扣摥㌷〶〲㙦挷㐱㘴㉣㙦っ㌰㡡ㄷ㘳昲㐵㠲慡ㄱ〷〶捦㕡ㅢ㉣㝡挲昶攳㝡慤㜰ㄱ戹㠷㝡㜲挷攰㝢摡搸㥣㍤愹㍢扡戵㐹收敦㜳〴搴㤶㌳㡤晢摡戲〹㕢㙣㕥戲㐴㌶㕡挲㉢ㄱ晡搳搷㍣㈷㉢扢愵づ㑣昹㡦敦愸㔷㌲㑡晡㍣㝣㈲ち㑦〸㠹捦つ晣㜴摦㥦ㅦ㝥㙣㌷敦愵〵戴㥡㘲㈰戸㥤攰㍣㉤〷㠴㙦㈳㔷㐲㉥收攷㌷〷昱㈱㤲㌹㕦ㄲ愳扡㈳敤ㅤ㔷戳挲愴㑦㜸ㄱ挲昴㠹㙦㌵ㄸ㤳戸攱攰ㅢ㤳戹〶挷愶晣㝣㐹㍡〳㜳㤱㠹㑢敦㕤ㄸ㈰㔴㕡慡慣㌶敤捡搴捦愰㜴㍥攴㐴敡敤㐱㥥㉦昹㈸捡换㡤㕡㙤㈷戵㥡㌴ㄳ㤵㈱搴〸愵ㄴ㈲つ愴㤰攸㤱㠵愱㝦㈹愵㈶㤱㐸攵〰㘲㘲㘸㡤挱㕣㥥晣搷㠴㠰愸㕥敦㙢昳㔳ㄵ散㈲戰ㄸ㝡摤摢㍤扢搲敡っ㔵ㄳ㠳戲昲昴㜱㉦ㄲ昲㤸挲っ㐶㘹㘵敥ㄱ㈴挲㈷㌵㡣搴㡡ㅤ㑦ㅣ愴挷昲㐳㙣㍥㘳愷㉣㝡搵戲搶ㅥ扢㠲㍢ㅥ搰㌳㘹愹㌰散昵捣挶搱㔳㐶攳晣慡㔹㍦㡢戰搷㑦㔶ㅢ㜵〵㐵搰㔹昶㈶㥣㍦ㄱ收攳昷㐰㉣ㅦ慡㜵㝤㜱㘳〹㜵㥣摤㠹〵昲〷晢㙢㑢っ㘳㘳㔴㜲っ㈴散㡡㙡㘵晣㑢攰㔳㘸㈲敤㜹㐵慢㈵㌹㤶愲㌰ㅡㅤ㜲㔶㠷摡愴晦ㄹ愷㤶㥣㌵捤摡っ㔸搷改晦㘳挸㔸㔶晦㉢㡣戲㐹㤴摤ㄷ㈴昸㤲㘲愴㘴搹攰っ㜷〴㍥㙣㠴㘹攴ㄱ㔸㤳㐹〶户晤搴ㄴ㍥㔱昵㡢愵〴㠷㠷㉢搹㜸〹愲摡㤶戶㙤㔷㑢〱挸㈸㔰敡㈵㠸愰㤶敤㌹改收㜳㙣晡㝥㘴てㅣ㌴ぢ㑥搹㉤ㅢ摥攰ㄴ挲扢㠳晣挲捣㠰捤㌳愲扣搸㈸搴慥挶㑥㜴㍦㠰㌶㠷づ㐳㘰ㅦㄲ摥㐷ㄵ㜵㘴っ㘱㘵㌱ぢ㝥㙤搴ㄷ〹㈴㔱㍢戸ㄷㄹ昷㔶昴ㄲ㍥㔰㍤っ慦愶挷慣㔵愱散㝣摦㜲攳㕤っ㙥ㅤ㙥㘳摤〳捦㡦㈸攵㄰〶㤳㑢㜸攰㐱敥㙢攳ㅥ搴搷つ搶收戲㘶㝢摥戵㙣敡㐷挰改捡㐶愹㈷ㄹ㡥挹敦㡥戳摡㠳㠴㠸昳搰㍢扡㜲㔷㉣㝢敢〷㥤〷㥦㙤搳攵㌵㔴㠲愳㙣〵㜱敥捦愲愹㜲ㄷ〱㝥㕡㍥㐸昰㐵愱㍦敦㑥㈶㥥挷戲挸〰㐸㈷搲㍡㐰㙢慡晥挱㔲㔴慤昰㘸㐱㉡捣㉡摦㐷㌹㜷挹㕦㙤㤱㜹㌸㙡挸㈳〴搲㕡㔴㜲㉢㍣㐲挸昱㥦㐵㠳敡昸戳挸㙤㍤晥㜷㤷ㅣ㥦捡㕦慥㉦摡㝦㕦愸㍣戴攳ㅣ晡〴㐱㠹挰〲攸ぢ㙢昶㔲㉣㔲搶愴晤㈰挲㙢扢㤱挶昳晢攰摦㜷㜶扦昵㈶㥦㝦敥㔶愴㈰㐴㔱晤㉡㈸〸攵㉡㥥㡡慥㘲ㅥ戹慤㔷昱捤愵㔶搱㐷ㄹ挹㤹㘸づ㐰㑦㠷㐲㕡㤱慢㜲㤱攰㠶昲愷㐸㠴㈲㔱㌷㡢㍥㈲㔶戶慤㈰㠱戶摣㜹搹㜶〱㠹戰㙤㡡ㅢㄱ昳〹㡦戴㡦㜸攵㤱㕥㥢戴敦㜶㑤晢㕡㌱㘳〵晥搶㔵㈱ㅢ戰㈴㝥ㄳ摢㔲愴愷摢㡣攵㉢㑦㠶㠸搹扦㍦晣㍥㑡つ愲㑢㈰っ摦㈲㈵㈱㜱㈳㤵慦㠴㤵㕦㝥愵收ㅣ㐵〱ㅥ㔰㡦㕦㤹〴㈷㉢㍦ㄱ㔶摥㡥㙦慦㘴㥤〴敦ち昰㜹㈷慣㑣挲㤴㤵ㅦて㉢晦㘳晢愶㙡攵㤰づ晤㥥㔳㈴㤲ㄸ㕢㔷㕡晦㤱敦戰㜹愸㑥ㄹ搴㥦㕤㠶㥦㑤挹㈹㠳挴㈵愹㐱扢㜱敤挳挱㤷搰ㄳ戸挵㠴换ㅥ㄰戲晥㝦㠸㜰〰户㥢挶㜵㑦挷㠷捥ぢ〸㉢㍢㥡㝣㘳攳戴㜱搸㐱㐶愷㜱挰挵㤹慡戸慡㐸〴收㐰搲摦摦㘵摣敦㌱愶㘳㙤㍦挲㜰㤸捡摢㈲敤㈹てㄹ㐲㐹㉡㡦㠵㤸㑤㥣慤搱㡣昶〸㤰〳㌱〹挸㠴昶㜹㐰㍦攴㌲挰㡣㍥昲扦㘴敥戳㐸㘸㡦ㄲ㝣ㄱ㈰慢㤰搹㐹〷改㉦〱昴㠶晦ㅤ挵攰㠲昴㤷愸捡㤹㜰戰㈸ㄹ㘹㕦㘶㠳挷〱㍡攰愸㔵〲㈲捣㙡㑦㈰㈷㍡㈸〵㠷ㅣ昴㐹ㄶ㝣㤵攰㙢〰搹ㄴ㈷扢攲㕤攳㥡摡搴㕣㕦㐷㔳㠵㕢㈱攵搸㌷㠲〴㕦㔲㘷〱敥㙣㙤㉢昳㈸ㅣ㝥扥㡦愰㘶摤㜷晡㝢昰摤晤㈲ㄷ摤㠱晦㜶㈴㈵つ晢愴晡㠹昶晡㈲ㄳ搰㈶㤷㍦〷㥢㝤ㅥ晤㜰㕤㌵ㅢ㤳㍤㝥ㄲ扦㡣㥡㔶ㅥ挵扦㘷昱㔳㑥㘲〴㡥㐲㑤㥢㠱㥢㠵㌴㈰ぢ收㠳〲慡㉣敤㈹〰㠵㌸㈶㥥戴愷昹㐶搴戲㝦敤㕢㐱㠲㉦ち昱㝡㤶㠹㔲搰㍣ㅣ㤰戸㤶〵㈷ㅡ〶㈴晥㘵挱昱攸㠰摦㐱慥㈲㤱㠵㐴扤㔶㈲搲㤲捣㝤〶愰愷愳㤷㜳愳㤶㔳㑦㉢㠵㠷㡡て㍤昴㕥㙦㜲㜰㜳昲搳㜷㜵㍦昳捥㙦摦㝤晡敤捦散晡摢晢捦㍤昷昶㕦㥥㝥昳晤搷㘷㜶扤昱挲ぢ扦扥晢㠷㙦扥扢摥㜸㕥㝤攵扤㠹攷捦っ㥦㌸㜳搲㌸㝡搳扥㌳昷ㅦ扦㜷㜸昲愲愱㡥㡥捥捥敢晢㝦㜳挹つ㝤㘷㑦扥慡晣敡㡦ㅢ㙤㐵㉥㤷〳ㅥ〱〸㥦㍥㉥㕢㑥攳㝢㐸㘰ㅡ㥣昱挷㍡つ㉥昷㉣㝥㑡㌱搸愸㔱扣㘴攰搳攰〴㘴㐱愱扥愰敢㍦挲㐲戱慣</t>
  </si>
  <si>
    <t>㜸〱敤㕣㕢㙣ㅣ㔷ㄹ摥ㄹ敦慥㜷搶㜶散挶戹㌴改捤扤㕦ㅣ戶㜱㥡昴ㅥ㔲㕦㜲㙢㜳㜱㘲㈷愵㉡敤㜶扣㝢挶㥥㘴㘷搶㤹㤹㜵攲ㄲ㘸ち愵愵㕣㠴ㅡ㠴愰愵㐰㔵愱ち㕥㤰捡㐳㘹㘹㜹㐰㐲〲愱ㄶ昱㔰㈱昱㠰㔴㉡〴て㈰ㄴ㠹㤷㍥㔴㉡摦㜷㘶㘶㜷㜶搷㍢㜶㌶㉤㌸挸㤳散㥦㌳攷㝥捥㝦㍤晦㝦㈶〹㈵㤱㐸㝣㠴㠷晦昲㐹㌲㜱昹挴扣敢〹㉢㌷㕡㉥㤵㐴挱㌳换戶㥢ㅢ㜶ㅣ㝤㝥㥦改㝡ㅤ愸㤰捥㥢㈸㜷㔳㜹搷㝣㕣㘴昲㜳挲㜱㔱㈹㤵㐸㘴㌲㥡㡡㜲㜶挲㕦㕦昸愲戱㔵㜷ㄲ㘰㜲㜴攴攰搴㌱昴㍡攱㤵ㅤ戱㘹攰愸摦㜶晢搰㔰㙥㈸户昵㡥愱摢㜳㥢㌷つ㡣㔶㑡㕥挵ㄱ摢㙤㔱昱ㅣ扤戴㘹㘰扣㌲㔵㌲ぢて㠸昹挹昲㜱㘱㙦ㄷ㔳㥢㙦㥢搲户摥㌹戴㜵摢㌶攳慥扢敥散挶搰㠹〳愳㈳攳㡥㌰摣㡦愹捦ㄴ愷扣㜵㑣ㄴ㑣慥㑤〸挷戴愷㜳愳㈳昸ㅢ㤹㍦摥敥挸㑤捣〸攱㜱㘸攱〸扢㈰㕣つつ扢慣㘱搷慤㔸戳摣㍣捤摡㠵愵ㄶ㜴搷㑢㔹愳愲㔴搲慣戰搷㡣㜵㄰㝢㔷搲攷扢慤〹㘱扢愶㘷捥㤹摥㝣摡㥡㐴㐷挵ㅥ敢㠸㉢づ敢昶戴㌸愰㕢㈲㘵敤慥㤸挵愴晦㈴㍡㙥っ扢㠸㑥㑣㉥㍦㌷散㕡愳㌳扡㈳㘷攴㜲㘳㘲敡敥㜲ち昵㜵慦㙤摤㉦愷㉥㐷㘰㥦搷户慥㠷㤲愳扡㔳慤㌹搸扡㘶戰昸晡ㄹ摣摡扡㝥㘴㡦敡摢摣摣扡㡤摣捡晡摡㑡㔷㐰摦㜲㐷戱ㄸ㉤㑤搰㐹㤰㈱㈰〲戵㉣㐱ㄷ㐱㌷㠰㤲晣㌷戸㈴摡㤰㐵㙡㕥㔷昳㔳㙡扥愰收㡢㙡㕥愸㜹㐳捤㑦慢昹ㄹ㌵㙦慡昹㘳㙡晥㌸敡㠴㑦愶戳㔳つ㥥挱㙦㥦扢昷敥户㕥摣昳收敥㐷㜳㍦㍦扢改㔳摤慢㔰改㔰㌰愹㌱㐷㍦〹㔲慢㔱昱㤶摣㘶晥㔹㥣㉢挰ㄴ挶㌶攳づ㘳㘸愸戸㙤戳㝥㥢㥥攲戲㘲㤰㕦㐷㈸㝤愸摢㙤㍣㘸摡挵昲㐹㠹扢换㐷㜴㔷搴㌶㙥㌰㈸ㅢ㈹㔷散愲㝢搹挲㠵ㄳ㥥敥㠹㡤㡤㘵戵㑥㥡㥡㑤㠰慤㠴㉢挷扢戲戱搹㔱扤㔴ㄱ挳愷㑣扦昸㡡㠶㘲㙢摣㈹㑦戵㉥摤攵㠸ㄳ搵搲愶ㄹつ㐳愸捤挹扥㥢㔶改ㄷ昹昳ㅡㄸ㥤㈹扢挲㤶搳ㅢ戴挶捤挲㜱攱㑣〸㡡㐴㔱㤴㑢㕤换愲㠰敢〷て摡㔸㈸戸戵㜸㑤㌴搷搸㜹捡〳㌳㡢㈲收㍢㉢ㅣ㙦㝥㔲㥦㉡㠹㜵㜵㔵晣㌱㔱戰愱㉥㝢㔷戹㔰㜱㐷换戶攷㤴㑢昵㈵挳挵㌹ㅤ㤲愶戸扦㕣ㄴ挹㘴㐲ち〵〸摣㡥づ㐵㐹摣搲㥡ㄷ㈴㈲㈲㈸㈶㈳㕦㕡㑦㜶戹挳㔸ㅤ㔶㔱ㄲ愴㐹昵扡㐵㍡攳㝣愵㡣㠹攱挰挸㥡愸㍦㌸攸㑤㡢㜴㕢挵摣㈷㕢㔹㔵晢㠳搵敦㥣ㄳ戶户㐷户㡢㈵攱挴㙡㍦㠵㌳搲㝡〱㔲攷㈰㄰㕡敥ㅥ㔵㥤㜲㑡㤹㑦㥤㌴㡢摥㑣㝡㐶㤸搳㌳ㅥ昲愰㈱㌳ㄹ㙥㙤搳愳㕤㠲㉣㙤㌵㐱㍦㐰㌶㥢㐸慦㘱愵㜴ㄶ㑦㈲㐵改ㄴ挳换㜵㠲㥣敤敡㜸戹摢搸㘵㤶㍣攱ぢ攵㕥〳ㄸ昱戵㥡㐴㕦て㐹搴搱ぢ扥挲㔸㘳㡣㠲㑡㜵搳昶收㙢㝣摢挴㈵㍥ㄱ慤挸㠲㘵㈷ぢ㈸ち敡攵㐱っ慦㠱㘸ㅡ愴㐱㝣攵〸ㄱ㤱つ㘲㌴㍢㝡慥㈷㌲搶㡦㤱ㄱ愸ㅦ㈵㐲搶摥摣㕡㐶㤰搸㥢㠹㤴㡤㕡昲攳㡡㌴㕢挸㤶昷愵搹㕡㙣㥣戶㡥㘰㍤挱愵〴ㅢ〰㤴扦㐱挲㔱捡㈱㕤晦㘸㤷攱㕤扢㥣攰ち〰挸㈷㡤㌲㈷㄰㔵戴愱㤶㘲㐷戲㕥て散㘴㘹ㄴ晢愲㠸㤶㜱搵捥散戱㈴愲〳慢㜳㜹攸摡愴搴戱㌷戴愶捤攸㜲㐸㤱㌱㔵愳㙢㕤愴㙡㜴㈳㔸戵㑤扤㜵ㄵ㥡㙡〳〴㔷〳昸㡡㠵挶敥搲慣㜹㥡㤳ㄷ㠵㐹攴ㅢ㐲㙤㉡昷㠰㠸㘹晥挷〸戸愶愳换㡡晤㑣㔳㜰搰戸攸敤攷㑤慤㜹㍢㐰㝡㠳捥㕣搱㌹昴ㄵ㥤愷〵㝤つ搸㑢昹㜳㑢晤㜲ㅤ㡡戵敢〹㙥〰㘸搰㉦㍣㜹㥦慦㤷㐰㥡挴㔶〴㜳慢改㜱㤱ㄶ敥攴晣慣㤰摡愷摢㤸搴㥤㘹攱挱㝢戱㜷っ㜶㜰搹㜱㐴〹〷摡愲捣攰搹㘵㝤㝤愶扢换㈹㕢捣㕦戱㡦摤㡢㐲㌱㈴㤳㙡㐷愲挱㍥㡥戱㌳㈳晥愶〸攵㔰晦摥搶㕡㐸㐴ㅡ搵㤳ㄷ摢挵㥦㉤㔷㈴㐹ㅢ㤲攴㈶㙣慢㜶㌳〰愴㠴昲挷㤶ㄲ㘵㤰搵㌶挹㙡昵搶㉡扤㝢㌱㈷㤳〶晦㘱㤳ㅣ改昲㥤戵㈳昰ㅤ戸㍤搶㠴㘹㔵㠵㐵㤷㌵㉥㥣〲晣ち㘶㐹㘴㝤㤷㉣㐵捤㡡慣戸㐸㘴㐵㐷㐷搳㔹㍡挶户㈶改愴㐱㑡挴㜲㝢㙣㘱捣㌹扣㐶㔴㜴㐱㔲愸挴戸㠵慡ㄲ㠸㤴挷扡㉢㈲愶つㄱ㤳挳挶㘹户ㄲ㙣㈶ㄸ〲㐸晤ㅥ㤲㘶愹ㅢ捦㔰㔸攷ㅣ摤搹昹㝣㈲㐳㌴㐸昷攰㍢㉤㠵搵㔶づ戳㡤攰㜶㠰〶昳㠷捥挷ㄸ㐲㤴㈸㡦㄰㈲慤㈵捤㌸㙡㡡㤳愴㠱㔵〶㠲㑡愳ㄵ搷㉢㕢㡣㉡昵ㄸ㘳攵〳㘵㙦捣㜴㘷ㄱ㠵敡㌷㠲挴㠳㌳挲〶㜵㌹戰㝤ㅡ昲捡戳戳愲愸ㄹㄳ攵ち㐴摢摥戱攵㜰㈸挷晡㘰㑢捡㜳戹慡攰㘹敦㙣㡣㉥ㄴ㜹㈲㠶慦㤵㥥搸㈵㜹扥㜹攸敢慤敤攸愴改㤵㐴㤷攱㌳ㅤ搳ㄹ〳扢㠸愸㐱戱搳㤸㥣㜱㠴ㄸ敢㌱㜶㍢㘶戱㘴摡㠲挸㠰㡤挹㐰摤㍥㌱㡤〸挱㜸㤹昱扦戲摤㘳㑣㍡扡敤捥敡っ㈶捥慦慥㝢㤳㈱㤱㤴㌱㘲摡㉥㠶㤱㔸㘴扡搷㤸㤸㈹㥦㐴戴戶㘲搹扢昵㔹㜷㔹㘰㠵㐴敦㍦ㄲ㌵㡡慡愸慡㤲㔱㌳敤攲㠷〷昲㐴㘲ぢ㝥㐹〲㠹慢㐴㡡晥昲ㄸ敤㑤扢㍥㠸捦搰㑥攷㥣扡ㄱ㌹慡㘶㜶挴㑡㘱㜲慡㜶㈷摢摣〵㜰晦敥㈳㝢㙢㔱戹ぢ㡡㔷愷攸攱㡦㤱昱㤲㉣慡㐱㄰晡攷㔶昹愴挲㍣㔲づ㌸㄰ㄸ攷㕢㈳昹㘵つ㔹㠷搴户慡㤶摣㠵㈸㔲户戱㑦㥦ㄲ㈵挴愲㉤摤㕢攵扦搰㡣戵昴㤲ㅢ㤴㡤㤶㉤㑢㈷㘹㤱㉣㈷ち㍡㈹㜸戸攲㤵昷㥢戶㘶〰㐸晡ぢ戲昴㔳挸搲㑦挹慣㙥攳㌰挳㠲㌲捤扥捡搳扡㘳㝡㌳㤶㔹挸昰㠵愱扢㘵㐱㤳㘰㜲㑡摥昰〹㘵挶㐰㠳㌵㝦〴㈶㥢㥢〳扡㜳㤰愳摣㍡愲ㅦ㤴慢㉡㘹晣㔱摡㜴㉣㐱挰㐸㉦愹㜶て㝡㑢挹㥢ㄱ㄰㌹昲㌹ㄷ摥扦㌸昷〴㜲㝣扦ㅣ戱ㅥ㐳㈲昰〸㐶㠴㍣摤摢㘹攳㠸㙤㝡挰ㅥ㌱戶换昴挶㕣愰ㅣ〰㐹㜹扣摤㈸戱ㅡ㘹㌴㔸搵ち㔷㌵ㄷ搵愹㠹㉢㥢换愳㝡攳扡〵㡡㝤㡤ㄲ㔱㈴㡢㔵㤲㥡㘵㠱㌹㉥㈷㔵愳㐸挵ㅤ㙡ㅢ㈵捥㙤㕡摢㜷㑡㤱ぢ㔰㑣㤲㘶ㄲ摡㜶㐹㈸〸昲㤲㍡愰愳攸慦㡦㈷㡦㐸戴㠶㌶㐰㤶㝡捡捦敢〹挲㠱㝢㜱攵愴㈸戲挱ㅢ昸㝢㔵㤰㍣㔸昱敡㑡昴㔳晤㐱挹㜰愹㜴搰㠶㤵㔰搰㥤攲㌲㘱㘹慣捤搷㌰㤲㍢摢搵晥晥昶㐶ㄸ㌱㘰㐳㠶㐴㘲晣挰㘰㐳㌰㔷㈴㥡㑡敢慣㠷㕢㕤捤捥昰㙤扦搰㙤㠹㠱〹慦㌸㈶收愴ㄹ㔶戳攴晢㘵㠳敡㘹㔱捡㔱捤ㄸ㥥㜲愱搲㍤捡昱㈰㈵ㄹ㕣㌳づ搳㉤㠵ぢっ㄰扢㐱㙡扣攰㈱慣㕢敤㠰㈷㠳攵㠳ㅤ散㠸ㅦ㌶愱㜵㐶〹㥡㡥㈱摣晡㐵㤰㜷摡挴㈸〴愹㈱㥦㝦敤㔰㕥㜸㥥捦㑦㜶㈴挲㐴挰㐴っ㜵挵㔸て㐰㙥㌴㉡㐹㉥敡て㠳攵扥㘴㤳㐲慢㍢捣愳㠹搱㐳㤳捦昱㜰㠳㠷㜱慣㕥戲㑤〹㜷摣㍣ㄳ摡戴㌴扦捡搸㙢ㄷ㑡㤵愲㤰慡㌸㤴搵㔲㈳㉦ぢ㝣挹敢㝦㍥㌷挵散㑢戰㈹㝢㜱㤴攲㤲㠹愴昶敤㙥敤搳㘸㉥㠵ㅣ晡昰㘵ㅢ㠳㡦㌱㙥㌹ㄹっ㙢扡愳㐰晢㜰㜵敤昲㠲扣㌸〷㤱搶㤴㐵㔹戶て㜷昱慡ㄱ㘴挹㙤㤱㙡晢捡晢捡戴搹㈳㔹㝢㑣㍦㙢㔹攰〸敢昴〵㕥㍡つ㘳愴㑤敥㘰㈷㠹㜳㐱㘴昷摣ㄳ昲㌵㜱㙥㐷㘰㝣㈸㡣敦昲ㄴ㤴挰慥㠲㤱㘸㜰慢㌵慢㕢㘱攴㤷㤶户㜶ㅦ㠰挲㄰㌰つ㕡搴昴つ㥣ㄱ愴ㄷ㌷㜰ㄸ㡣㡣㠹㡥㐶〳愹㡣㔱昶挳㘱て愴㠱㥢㜸㤰㥥㉣㐳〹㜹㙢攴愵戰昰㕥攲愰㠵㈳㔰搹㔹搷㤰㌹慥㝢戸晡㘲㙦㘸挸ㅥ㉥ㄶ㘹敥挲㍦户㉣戰㡡㙢ㅢ扥㌹扡愶攱㐲㤶㕣ㄳ敤扢㙢ㅢち㠲㡢㠲㕢挶㜲㝢㜴慦㌰㌳攱捤晢㤷戶摡㈵㠹搴㉦攱㡦㔸㜰㜴摡捣㐹㥢㤷㔰攷戸昷搹攳㜶昹愴㉤攷㤵㜲㜹攳㡦㔶慣搶搹挹㐹㘶ㄳㅦ攱㡦㝣搴㐴敡㉤昴戸㤴㘹戳㠳㥡㠳㠴晤挸挷㤷〶〳㐸挷搰〹㙣昷敡㡤〱搲挹㥡〶㍡㤱㠲㘰㠵㔰散改㡦㡤㔰㤴㌷㠱㔶ㄲ㡢㝦㈴挷㥥扦〲搶㔷㝥㠱ㅣ㈲ㅣ敦㠱ㄸ㐹㕤㡤㔴っ敡愴㈰て慥㜷昰㌲挸晦て㤶㐲㙥㕥㤰㥤晥ぢ捣慣扣搱㠸愲㉢㠹愲搷㥢㔱挴㐰散㜹㠵扣㌹晢㤵愳收㈷㝥慤昷㝦㜸搴扣ㅦㄸ收㈳慤㌱〴搵ㄸ㡣慦ㅡ〳ㅤ㑤挶挰昵㈸㤶挶挰〳㙣挳㜸扤㙦っ〴摥㡥晤挸㔸摣ㄸ㘰ㄴ㉦挶攴㡢〴㔵㈳づっ㥥戵搶㔹昴㠴敤挱昵㕡攱㈲㜲て昵攴㡥挲昷戴扥㌹㝢㕣㜷㜴㙢㠳捣摦敤〸愸㉤㘷ㄲ昷戵㘵ㄳ戶搸戸㘰㠹㙣戴㠰㔷㈲昴愷慦㜸㑥㤶㜶㑢ㅤ㤸昲ㅦ摦㔱慦㘴㤴昴〵昸㐴ㄴ㥥㄰ㄲ㥦㕢昳搳摤㝦㜹晣愹ㅤ扣㤷ㄶ搰㙡㡡㠱攰㜶㠲昳戴ㅣ㄰扥㡤㕣〹㔹换捦㙦昶攳㐳㈴㜳戶㈴㐶㜴㐷摡㍢慥㘶㠵㐹㥦昰㈲㠴改ㄳ摦㜲㌰㈶㜱挳挱㌷㈶㜳つ㡥㑤昹昹㤲㜴〶收㈲ㄳ㤷摥扢㌰㐰愸戴㔴㔹㙤摡㤵愹㥦㐱改㥣攷㐴敡敤㐱㥥㉦昹㈸捡慢㡤㕡㙤ㅢ戵㥡㌴ㄳ㤵㐱搴〸愵ㄴ㈲つ愴㤰攸㤱㠵愱㝦㈹愵挶㤱㐸攵〰㘲㘲㘸㡤挱㕣㥥晣㔷㠴㠰愸㕥敦㙢昳㔳ㄵ散㈲戰ㄸ㝡摤摢㍤扢搲敡っ㔵ㄳ㠳戲昲昴㜱〸〹㜹㑣㘱〶愳戴㌲昷㌰ㄲ攱㤳ㅡ㐲㙡挹㡥㈷づ搲㘳昹㈱㌶㥦戱㔳ㄶ扤㙡㔹㙢愷㕤挱ㅤて攸㤹戴㔴ㄸ昶㙡㘶攳攸㈹愳㜱㝥搵慣㥦㐵搸敢㈷慢㡤扡㠲㈲攸㉣㝢〳捥㥦〸昳昱㝢㈰㤶て搶扡㕥摢㔸㐲ㅤ㘷㜷㘲㠱晣挱晥扡㌲㠶戱㌱㉡㌹〶ㄲ㜶㐹戵㌲晥㈵昰〹㌴㤱昶扣愲搵㤲ㅣ㑢㔱ㄸ㡤づ㌹慢㐳㙤搲晦㡣㔳㑢捥㥡㘴㙤〶慣敢昴晦㔱㘴㉣慡晦ㄵ㐶搹㈴捡ㅥっㄲ㝣㐹㌱㔲戲㘸㜰㠶㍢〲ㅦ㌶挲㌴昲〸慣挹㈴㠳摢㝥㙡〲㥦愸晡挵㔲㠲挳挳㤵㙣扣〴㔱㙤㑢摢戶慢愵〰㘴ㄴ㈸昵㘳㠸愰㤶敤㌹改收㜳㙣晡㈱㘴慦搹㙦ㄶ㥣戲㕢㌶扣㠱〹㠴㜷〷昸㠵㤹〱㥢㘷㔸㜹愵㔱愸㕤㡢㥤攸㝥ㄸ㙤づㅣ㠴挰㍥㈰扣㡦㉢敡挸ㄸ挲搲㘲ㄶ晣摡愸㉦ㄲ㐸愲㜶㜰㉦㌱づ㔵昴ㄲ㍥㔰㍤〸慦愶挷慣㘵愱散㝣摦㜲攳㕤っ㙥ㅤ㙥㘳㍤〰捦㡦㈸攵㄰〶㤳㑢㜸昸ㄱ敥㙢攳ㅥ搴搷つ搶收戲㘶㝢摥戵㙣敡㐷挰改搲㐶愹㈷ㄹ㡥挹敦㡥戳摡㈳㠴㠸昳搰㍢扡㜴㔷㉣㝢敢〷㥤〷㥦㙤搳攵㌵㔸㠲愳㙣〹㜱敥㐷搱㔴戹㡦〰㍦㉤ㅦ㈴昸愲搰㥦㜷てㄳ㉦㘱㔹㘴〰愴ㄳ㘹ㅤ愰㌵㔵晦㘰㈱慡㔶㜸戴㈰ㄵ㘶㤵敦愳㥣扢攴慦戶挸㍣ㅣ㌵攴ㄱ〲㘹㉤㉡戹ㄵㅥ㈱攴昸㉦愰㐱㜵晣㘹攴戶ㅥ晦扢ぢ㡥㑦攵㉦搷ㄷ敤扦㉦㔴ㅥ摡㌱づ㝤㥣愰㐴㘰〱昴㠵㌵㝢㈹ㄶ㈹㙢搲㝥㄰攱㡤ㅤ㐸攳昹㐳昰敦㝢㍢摥㜹㥢捦㍦㜷㈸㔲㄰愲愸㝥ㄵㄴ㠴㜲ㄵ捦㐵㔷㌱㡢摣搶慢昸收㐲慢攸愳㡣攴㑣㌴〷愰愷㐳㈱慤挸㔵戹㐸㜰㐳昹㔳㈴㐲㤱愸㥢㐵ㅦㄱ㉢摢㔶㤰㐰㕢敥扣㙣㍢㠷㐴搸㌶挵㡤㠸昹㠴㐷摡㐷扣昲㐸慦㑤摡㜷扢愶㝤慤㤸戱〲㝦敢戲㤰つ㔸ㄲ扦㠹㙤㈹搲搳㙤挶昲㤵㘷㐳挴散搹ㄳ㝥ㅦ愵〶搱㈵㄰㠶㙦㤱㤲㤰戸㤱捡㔷挲捡慦扥㔶㜳㡥愲〰て愸挷慦㑣㠲㤳㤵㥦〹㉢㙦挱户㔷戲㑥㠲㜷〵昸扣ㄷ㔶㈶㘱捡捡㑦㠷㤵晦戱㘵㐳戵㜲㐸㠷㝥捦㈹ㄲ㐹㡣慤㉢慤晦挸㜷搸㍣㔴愷っ敡捦㉥挳捦愶攴㤴㐱攲㤲搴愰摤戸昶攱攰㑢攸㝤戸挵㠴换ㅥ㄰戲晥㝦㠸戰ㄷ户㥢挶㜴㑦挷㠷捥㜳〸㉢㍢㥡㝣㘳攳戴㜱搰㐱㐶愷戱搷挵㤹慡戸慣㐸〴收㐰搲摦摦㐵摣敦㌱愶㘳㙤㍦挲㜰㤸捡摢㈲敤㈹てㄹ㐲㐹㉡㑦㠵㤸㑤㥣愹搱㡣昶㜹㈰〷㘲ㄲ㤰〹敤ぢ㠰㝥挸㘵つ㌳晡挸晦㤲戹捦㈰愱㍤㐹昰㐵㠰慣㐲㘶㈷ㅤ愴扦〴搰ㅢ晥㜷ㄴ〳㜳搲㕦愲㉡愷挳挱愲㘴愴㝤㤹つ㥥〶攸㠰愳㔶〹㠸㌰慢㍤㠳㥣攸愰ㄴㅣ㜲搰㘷㔹昰㔵㠲慦〱㘴㔳㥣散㤲㜷㡤㙢㙡㔳㜳㝤ㅤ㑤ㄵ㙥㠵㤴㘳摦〸ㄲ㝣㐹㥤〱戸愷戵慤捣愳㜰昸昹㍥㠲㥡㜵摦改敦挴㜷昷昳㕣㜴〷晥摢㤱㤴㌴散㤳敡摤敤昵㐵㈶愰㑤㉥㝦づ㌶晢〲晡攱扡㙡㌶㈶㝢扣ㄷ扦㡣㥡㔶㥥挴扦㘷昰㔳㑥㘰〴㡥㐲㑤㥢㠱㥢㠵㌴㈰ぢ㘶㠳〲慡㉣敤㌹〰㠵㌸㈶㥥戴戳㝣㈳㙡搹扦昶慤㈰挱ㄷ㠵㜸㍤挳㐴㈹㘸ㅥづ㐸㕣换㠲攳つ〳ㄲ晦戲攰㔸㜴挰敦㈰㔷㤱挸㐲愲㕥㉢ㄱ㘹㐹收㍥て搰搳搱换戹㔱换愹愷㤴挲㘳挵挷ㅥ晢愰㌷㌹戰㌱昹㤹晢扡㥦㝦敦㜷敦㥦㝤昷戳摢晦晥攱㡢㉦扥晢搷戳㙦㝦昸搶搴昶摦扣晣昲慦敦晦攱摢敦慦㌶㕥㔲㕦晢㘰摦㑢愷㠷㡥㥦㍥㘱ㅣ戹㘵昷改㠷㡥ㅤㅡㅡ扦㘴戰愳愳戳昳挶晥摦㕥㝡㔳摦㤹ㄳ慦㉢扦晡搳㝡㕢㤱换攵㠰㠷〱挲愷㡦换㤶搳昸ㅥㄲ㤸〶㘷晣㠹㑥㠳换㍤㠳㥦㔲っ㌶㙡〴㉦ㄹ昸㌴㌸〱㔹㔰愸㉦攸晡て㝤搵戱㔱</t>
  </si>
  <si>
    <t>㜸〱捤㔹㕢㙣ㅣ搵ㄹ摥㤹摤㔹敦慣搷昶收挲㉤㐰㔸㉥㈱㠰挳㌶㈶㠴〴㘸ㄴ摢敢㌸㜱㜰㘲㈷敢㈴㔰㡡㤶昱捥㤹㜸挸㕣捣捣慣㘳㔷愸昴愹慡晡㔲㠹㤷㡡ちち㐲㝤㠱ㄷ㥥㝡㐳扣ㄴ戵㙡㔵愵敡ぢ㔲摢㤷慡㐵㤵慡ち㕡搱昶㠵〷愴昴晢捥捣摡扢敢昵㈶㤸㔴昲戱晣敦戹晥㜳捥㝦㍢晦晦㥦㤴㤲㑡愵慥愲昰㤷㈵挳捡ㅤ搵㤵㌰ㄲ㙥戹攲㍢㡥愸㐷戶敦㠵攵戱㈰㌰㔶愶敤㌰㑡㘳㐲戶㘶㘳㍣搴㙡愱晤つ㤱慢㉤㠹㈰挴㈴㉤㤵捡攵㜴ㄵ攳㐴挲晦㘲戳愱㜳㔵㈱〳㌰㔷ㄹ㥦㤹㝦〱㔸慢㤱ㅦ㠸㝤愵昳昱摡㈳㈳㈳攵㤱昲愳㠷㐶ㅥ㉢敦摦㔷慡㌴㥣愸ㄱ㠸㈳㥥㘸㐴㠱攱散㉢捤㌶收ㅤ扢晥㤴㔸㤹昳㉦〹敦㠸㤸摦㝦㘰摥㜸昴昰挸愳〷て㕡㡦㍦㝥戸㠰㑦愷㑥㔷挶㘷〳㘱㠵㌷ち㘷㤶㌸㘷㉡攳攵搳㈲扡㔱㌸晢㠰ㄳ㈸㈷㝣搷戰扤ㅢ㠴㔴㈳㙤て㑣㠸扡㑤㈶〸ㄱ搸摥挵㌲戶摤㐶㘸戴づ㤵㈷㐱昱扡ㄱ㐶ㄵ攱㌸㘷㠵挵捤ㄴ㕣搲㑣〴挲慢㡢㜰搰㍤戶㕣ㄷ㑥㌲ㅣ收摣昳㐶㜰摡㜰㐵㠶㤵㈱㌷收摢㤴㈹扣挸㡥㔶〶摣㜳愱㌸㙢㜸ㄷ〵愷㘸敥昱㠶㙤㘶㌲㑡㈶㤳㑡敦敤戶ㄹ挹㥢昲㘴㔰慦㉣ㄸ㐱㈴㕢攴摡㐸户戹㉤ㄲ㈲㌷摥戶㉤㑡㔱愹㘳ㄵ搹㔴戵摤愷㐴攰〹㠷ㅦ㈱昳㠶㍢㈶㐹㥡挴愴㕦㈵㑥昳㌴愴㠵搲㥦挸扤㍣ち㍡昴ㅣ㠱づ㤰捤〳摣㌳㉤㤶㠴〳㠹㌷㑢㜵㍦㡣㑡扥㔵㕡っ㝣戳㔱㡦㑡ㅦ晣戴㜴摥㜰ㅡ㐲敦攷㡡〲㠰㤲昹㉦搴慡ㄵ㈳㠷搴㥡愱搶收搵㕡㕤慤㤹㙡㑤愸㌵㑢慤㕤㔴㙢ぢ㙡捤㔶㙢㉦愸戵㑢㤸搳㉣戹扥㍥㌵㈹ㅦ㕦晤昳昹㠷户晤㙡昴昵挹摦㝦慦㜸㙡捦㝢㠵㐱㑣㍡㤳散㜶㈲㌰㉥㠳攵㙢搲昴㐸㜹㍦晦慥慤㐶搰㈲敢愰㜵挸ㅡㄹ㌱て敥㌷づㄸㅡ捦㝢扤捣摢㠹戹〵敢㠲敤㤹晥㘵挹捤㠲㌵㘹㍢㤱〸㘴㘳挸挲㑦㉣㤱戲㍤㘰ㅤ㕢㠶㉡搷㘳挶敦戴㉡㈲㠸愰〲搱捡㥡㌴摣㌱㙥㠴㘲慤㌹㥣攰ㅥ昷ㅢ㥥ㄹ摥摥㝤戰ㅡㄹ㤱搸搵㌹戶㠶㘴摤戲㉡搴㐳㠴㜲㑢扢㍢㤷㐹づ㡥㉤摢昱昰㥤ㅤ挳㔰ㄴ㝦㝥攳搱挹㐰扣戸㍡扡㙥㐷㘳戰愲㑢㠲攳敢㑥ㄹて挵晢㉡㔵ㄶ晣㔰㜸㜲㝢挳敥慣㕤扦㈴㠲慡愰つㄶ愶㍣敡㑤ㅣ㑡戴㜵㜸挶挳㐱愱㝦收㍤慤扤㈴戴昰㑣㘱㘲扦㡢愰昲捡㥣㌱敦㠸㥢摢愶挴摦挴挰㙤㙤摤㤳㝥扤ㄱ㔶㝣㉦ち㝣愷㝤㘴捣㕣㌲㘰㈱捣㔳扥㈹㌲戲愴㘲愸愴搲㘹㐵㐹㍤搰㑤搵㠸㍢愴㌲戶〸〹㔵扥昷攴ㄶ㈱攲攴慥㑡扣㡡ㄹ㤵ㄶ㈱攳晣〷㝢敥愴㔵〸㌹㝢㝦捦搹㕤㠴㤴㡢㙥㙤㔷扣昲㔹昰〷㝣㜰〴戵㔲扤㙦㘳㤴㙢㜲㜹㡤㥤戶㜰㠵㔷㉥㘷昷㈰㥡㐴扢㉡㝢晦摦挹慡扡㈳㌹晤戱㈵摣〳㈷っ捦㜴㐴搰搳㘱㔰戸㈳㝤㠸愰㐸戰㡤㘰㍢挱づ〰敤ㄳ㤸挹つ㈹㑡㕢慦㉣㉢㉢摡㘵摢㡣ㄶ戲ぢ挲扥戸㄰愱て㡥㐶㉥㐷㜲㝦〲㤳昵㙤戸ㅡ摢㌱戳㐱㙦㐳扦㠹攰㘶㠲㕢〰昲昹㔴昶㔶晣挲㠲敢户昱㘷ㄷ挰㔰昳㈲㉣挵㤲㤹㑦㘹㌴昲㕦晣㉡㤲ㅦ㤴㌷ㅦ㕣㤳㔰㜳㠱㌷㑣愷扢㔱攳㠴ㄱ㉥㐴㔴挴㥥㠳㍣慥㝥㍢挱ㅤ〰㠵㍢〱㑥㥦㄰づ搴昸㐶㜹㌵ㅡ㙦愱㙢摥㥥攴捥捤㙥㜵挵慢㉦〴扥㠷ㅢ㙦挲㠸㡣戱㍡㕣㠴㔰㌱戲敥戴㕦㘹㐴㔹昷㠴㡤㥦㠲㝢㔶㉣ち㈳慡挰㑣㐷〳敥㌴摣ぢ㘹㐷愷捣㘵捤㡤㍤㠳〹ㄱ搶㜵扡㄰㔳㌰㑢换㔹搴㜰㔳ㄶ㕣ㅡㅡ戱ㅣㄱ㜵㥦㍢㙢挰〵㠹㜴㑣ㅡ㤶慢攲ㅡ㔷づ挸扥收敡㝣搲〲㠶愲慣戶㘰改㤷ㅤ㌱愶ㄴ㐹㤹㠲㘵㑡愵㌳〹散搴愰㜳㤱敤㠴攵㠴扣攵〹ㅦ㉥愶㤰㕥㉥挹㥥捤㐲挰戲㍤㤹搵愹攸昴㐱㘶敡昳㌱㕡㙣攵㜸攰㌷ㄶ改㠷摣㈸㍣挴㤵搲㜷〳扣昱敦㜷㥥摣昳晡扢㔷㤳摦㤷愱㐲戲攸㜴㔳㜴捡㍢㥢昸㤱㐵扦ㅢ㍦昹㕥㘳ㅡ㍤㤶慥㤶㜶〳㜷㠹㉡㕤㜰㜱摡戹㐰㐸晦㉦㈷ㅢ㉢㡢㘲挰扤攰〷㤷收㝤晦ㄲ㤹㍦㈸㕢攱㠲㄰ㄱ㥤慡晥挴㠷㘴㕤㔱㤴㜴扡捤㍦㙡昱扥攸㡥㘵昷〰っ㡣㌹㑥愹㠹㌱捣摥㡦慥㌴摤扢扤愸㍣㔸㙤㠴㜴㈲㡣㜹摢㠱㐳㕡戲〲㝣昱㌲扥㕥㍡㌵㌳㔷ㄳ换㠶扢攸㠸昲戲ㄳ扡捡ㅦ㐱づ晡㘳晦晣慢㔹晡昹挹晦㔴㕥昹昱㔷㠲㝢㈷扥戳㕢昹㐳㌲搰改㘱㘹戴㔷㥤ㄲ㈳ㅤ挸搵扢愷攵㔶愳㈵捡㕡攷㍣㍢ち晢慤戱㐶攴㑦摡搱㐴ㄸㄵ㉣〰㔴攵㤲㕤搲㑣户㉣ㅡ戶捥摢攲昲ㅣ㘸㜶搷晡㈱昸搶ㄵ㥣捥㤷捡戰㝢晤昸㠴㝦摡㡦㈶散㜰搱㌱㔶敥敢㌲ㅣ㡦㕣㔸㄰ㅥ晣㠶〰敥挳戵㈶昹㡢㡢挲散戲挷慡摦〸敡㘲㙡㘲㉢㜸ㅥ㑡慣搵㈹〸づ㜴㕡搹戳昱㑤摢㐲㜷㡡慡ち㘱㔳㌶㜹㜱挹摢㐳ㅦ〶ㄶ㠴戴ち㉥ㄴ㝤ㅦ慡戸㔷㌴摥㘶扤㐵愴挵㤷愱摤捤㕢㘰㙢摣㌷㤰㌸换㔳㕥㘸㥢㈲㥦戴㑥搹摥㘰㔲㥤㘹㐴㙤㈳挶昲㡥㘴〴ㅡ㌱攳㠱昵㜵㈳㌰户〲㔷㜰㌰㤴㤸㈵㑡ㄶ㝦㥢㈳㜴㡣㈶㤵晡戴㤹㡢昸昴㘵ㄸ慤㠷搱㑤㕡搳㘹攸㙡愰㔶搵ㄱ㤵ㄶ㔷㤰敡㍢㐰㜲慦㜶攷搸㍡㈵っ㑦㜲愱ㅡ㤹ㄳ㘲㘹㔰捥㄰㄰㜰㠴戴㡥搸搱摥㡣㈳㍡㙢㙣㍥昴㥤㐶㈴〶㔷㙢㔲搱㜵敢慣㜰っ扡昵㠵搵摡㙣㍤㐲攰戳㡡㡦㉥晢搶攱㄰㈸㤲㐹戸愴㐸㍥㘵㝢〸㙦晢㈱愸㐳㥢攴㉡㙥㘰㑢㤶㝦ㅤ㔵㝥昰㉡换摢㐷㔳捤㑡㥥㈵愵搱摤戸㝥扦㥤㥡戴愳ㄹ㑥挶ㄶ㑥ㅡ慦㐲戳㡦㉥昳㠰㈵敤ㅥ攲㘲㘶㌳㠶愸㍡づ㔲㑤㤱㕤㌷ㅣ㘷㘵搰㥡昲敡㑥挳ㄴ搳挶扣㜰㥡㌶摢て摣㉤挲㉦㤹㠵㡢㜹搵㠳㉥㐹㌰㌳㠵㔴㕣㌳㑡搸戴㤹㑢改㘵㤰㔵扡づ挰㤱搷昷愳㐵搶搰㐵晦挲㐱ㄲ扤㤰敤㙢㈱扥㑣ㄲ挱戴慤敢愲㑤愳挳戸ㅡ㘷㐹㡤㙢㤹㌶敤㑦晢㠸㠱捤㤶慥ㄳ㜶摣戵㘵昴㑡戲㈹㥢捤㙥昶㠲〱慤㔰㍥㑤扣㌵ㄸ扤戸㝤㤴昴㈷〷ㄸ捦㜴扡㥡㉤㡥㠸扣晢愵ㄱ攴㜵㌴㐴ぢㄶ㍢づ㜳㜶攴㠸㝥㑢㡥换㝡㡥㉡㐱㙡昶㔹㜳ぢ㜰摢㈶〶慣攳㠱㙤㍡戶㈷攸㠴㈰㈷挳挴摣戴戸㠸散挱慣ㅦ摡捣晢づ㔸㜳㠱攱㠵㡢昴捥敢㉢摢摢㕡㤲㔹㥡㌵㙥㝢㔰愰昸㥢慣て㔹搵〵晦㌲㔲挷つ搷㍢㙥㉣㠶㕢㠲㔱戰㐲㐹㠹戵㑡㔵㔴㔵挹愹戹捤摥㔵搲㤹愶㐳㤰㝡〴㜸㔵㠲㠴㕤㡣㍣㝢攸㉣㌹㤵攴㙦愸戳摣㔷㕢ち戶㙢昰戸㥡㝢愷ㅤ搶昹戱挲〱㠰㤳挷捦㑤慤㘵晤扥㔴〲㕤㘳慣摣攳㍡㤰愲戱㥡㘲愰㐸づ挶攲挲㍥㑡㡦㉥戹捥㔶愷〸收㉤㌹㠷搲㠸ㅢ㤴搳㔹㥤㐴昰㔷㠰昲挳晣㈲㘸㠶摤ㅤ㡣ㅢ㜴改㕣挳〹㤳戱㡡敦扡〶挵㡢愲㔹㠵敤ㄶ㌹改㕦挳㥡攸ㄶ㠰㤴挱愴换㔸㐶㤷戱㉣扢㜰㈵㌳㙤㈸敢挴攵㕦㌴〲㍢㕡㜰敤㝡㡥つ愶昶戶㠴㕣㐲㠴㘴愰ち㠲戲㐸攱㠴戳摡ㄹ愰挷㌱㈵搸㕤㐶晣㐰搲㤱晤㤰㕥㔵摥攳捡㈶㜳㌲㄰㕦㘹昰昵㠳挰愶挹愷ㅡ㠶捡㉣㉤㑥ㄸ㝡愴㈱㔲㤸㍥攱戰晥㔸㔲㘱㈳挳㙣㐵捦㌰㤹愱㕣㝥摡㌷捣㐹㘴㝦晤愰㉦㜹昰挹㠱戵㌴㉢㐱㤱愹㤱ち昲㡡挸㔷㉥挱ㄷづ㜲散愸㈲改㤰㘱㔲㈵ㅢ昳㤰戴㐹㘹㕡㝦慥摢户愶㥡戸敥㑢㐲挸搶㠷慢愹㜵昸㍦㌹㜳ㄸ搶㤵挷攲换㠹㝥㠸攰㌰㠰挲愴ぢ捦搳㌱攱㜱㑥㜸〲㐰㘳散摤愹㈵ㅢ愶ㄱ㠸㕣㜳㤹摥挸戹㍣づ㕣㡥㉣㤲ㅥ㐸㤳㠰㈴搹晥ㅣ搳っ晡㤳〰扦扢㜲攵〸㝥㔲捡摤〰捤敦㔳搵昳㜹ㄲ㑦晦㉡〱㘷㘸㡣㐲慥㉦敡攱挲㘲㑢㈸㑡ㅤつ户㔹㘷ㅡ〶㐳攵ㄹ昸㐳ㄱ扢戶㠲ㄲ㘴㘲慦戴昳摤愱晤㐹〷〱㥤㍣挲戳捦㌱ぢ搲㐹㠳昶戹挹搹㐲捥摣㥣搷㥡搷㍥㐰㕥攰晡扥㐲㉤攸㕢㘲㑡慢㔶㐳慡〷㉤㌲㍥慦㔳挴㜰㝦㉢㡣ㄶ愵摡㡣愲搲㉣ち攳㥡㜵扤ㅡ㝤戰ㅥ㤷㐷㠷挳挷昵㍢搶㐴㥤㐶㙤搸攱ぢ㙤㌷ㅤ㘹扦㐳挶昸㜹晡㜸敢昶愰昰㝡㤱扤㤵愴㈲攵㤸㈶攲㥡㔶㠹愶っ愱㉣散㔳㌵㕡㜱㜰㈷戰捡㌴㔰㕣愳ㄲ挴挳搸戴ㅦ挰挹捤㜴㈶㝥㔷搷㌲愳搲扦戳㈳搱㉥㤷㜱㠴收㑦㝢ㅦ㉣摡㜰㍤㑦戰挶ㄵ慥㘱挹ㅥ〳搸㜹捡慥〷㝥攸㕢㔱愹ち摦愶挴愷ㄷぢ㕥敥㤸昶ㅥ㌰㜶晤㈶て㤶昱昸捣㈹ㄹ㥤扦攴昹㤷㍤戹ㅢ㉤攴ぢ㤴愴㔷㕦ㅦ㍦㐳摦㔷㤶㝢㐱挵㈲㑤㈵ㄷ敢挷〱〶搲㐵摡ㅡ㤶㈲敤つ㑢㤱挶㠵愵㐸〳挳㌲㐴㤳㐰㉣ㄴ愵ㅢ㕡㡡㌴㈴攴㘶昶〴㐰愱㌲㕥㤳戶昵㉣㕥㘹戲㔳攸搹㠶㥥昶㌷摥散㐹㜴て愲扢挵㙤㈹搲ㄲㄱ㡢㝣ㄸ搵愷㔹攳扢愱㐲㠱㤷㠴㌸㡤ち㈷昰扦㌸ち挰愲㡣ㄱ攰㕦ㅦ〵㘰㘱愳㔸〱㤰〴㥡㐵㘵㈰慤㤱㑥㑦㙥㥣搷㘹搹挷㌰戴愱敤㥤敢ㄸ摥慤㔶㜸㡢愵㜱㙦㘸昲㘸ㄹ昵㠹捤攱愲慤愱〵㤶晦敦㐲㉣扥〴ㅥ㥥㜳㑤ㄴ㠹昱㉥晣敢㘷〱ㄴ㔲慦挰搶ㅥ㠲晢〹昶〲㈸敦攰㤳㕤昳㤵㙦㈷〳㥤昹捡㈲㠹㉥〹昹㌴㤱㍣㐳昰㌵㠰扣㐶挲㍥戴㌱ㄵ㘲捦㙡敤㔵㤴㠹ㄳ捤愲搲昶㕢昱愳㈴㘹㈱ㄳ㔴㡥㤴昸〲㥣慣〰敦㤲搳㠸ㅢ攰㕡攱搵㍤㤱ㄹ挴ㄳ扣散㥡搷戸㉥㕢㕣㥣戵㘶〲摣敢㝤搶㔴㠸攸挴捣㈱搹ㅦ攱㥤搸摢ち㤷て㙣㔰㠶㌲〳愹㘱㑥㔱敤慡晥搴敢捥㙢扦㈵〴㕢愳㐷㌳っ㔷改㥢㙤敥敡挹㍥㡢㡦慤㍤㔰㐹㝢ㄳ慡捡㡦挰㜷㥡愷晣挷㡦摣㜶㤵摢㠵晦㤷搲㥦挳㡦㤴ㅡ㐵㥥〱搹㐹扤挶㉥收㉣㈵㐸㘹ㄴ戳捥㐳搱㄰㑦㜲㐵挷戳㕡㝦㍦㑦晡昶搱㝦㡣㝥㜳昴扢㘳ち㈵㠹晡愸扣㠱て㔳〹㘸㍦㜲㙡㔶愱㜴挹㠱ㅦ㈶〳㌴〹㌹昸慤㤴㌸㌹昰㝡㌲㐰㥢愰㥢〰ㅡ户㝡摤㌴愴捡㙣昲㘶ㄳ㔸慡㤰〸搲搶挰慥换ちㅢ㐳摣挷〵晣慢换㑡晤㜹昳昹攷㍦ㅢ捡㤴㜶㘵㥥ㅥ㉤扣晡㤷摦㝥昴捡㠷㕦㍦昲昷捦㕦㝢敤挳扦扤㜲攵昳昷攷㡦晣晡慤户㝥㜹昲㡤㉢ㅦ㙤户摥㔴㝦昲搹昴㥢㉦㡤㕣㝡改㐵敢摣㐳挷㕦㝡收㠵㌳㈳戳摢㠶搳改扥扥扤㍢㝥㜳敢〳挵㙦扤昸㌳攵ㄷ㝦扡挵㔳攴户昱㠱㔵ㄳ㠷㍡扣㌰〰愹㤹ぢ愸っ愴ㄵ晥㐸㈲㝤㍦㈱搲㌸㍡㜲㑡慡晦㝦换㜲㝣戸</t>
  </si>
  <si>
    <t>㜸〱捤㔸捤㙦ㅢ挷ㄵ攷㉥戹攴㉥㐹搹㡣㍦㘳挷㜶㠸搴㙤攳捡愱挵搸㡡㥤ㄴ㠶㈴㤲㤶慣搴晡㜰挸挸扤㙤㤷摣㔹㜱慤晤㘰㘷㤶愲㤸〶㍤昵㔰愴㠷〲㍤ㄵ〵ち昴ㄶ昴㔲愰㠷愲㘸㡥〱㝡㈸㡡戶㝦㐰㍦㔰摦ㅡ愴扤昴搰ㅥ搳摦㥢㈵㘵㤲愲ㅢ㕢㔵〱㡦慤搹㤹㜹㌳㙦摥扣㜹敦昷摥㌰愱㈴ㄲ㠹捦㔰攸㑢㈵㐵㡤ぢ昵扥㠸㤸㕦慡㠶㥥挷㕡㤱ㅢ〶愲戴挴戹搵扦攷㡡㈸㠹〹㘹搳〵㕤㘸愶㜰摦㘳扡戹换戸挰㈴㉤㤱搰㜵㐳〵㥤㤸搰㕦㘱搸㌱㘸㔵㍥㠵慡㔱慤㙣㌴ㅦ㠲㙢㍤ち㌹扢㕡摣㡡搷摥㉥㤷㑢攵搲㡤㥢攵㌷㑡㜳㔷㡢搵慥ㄷ㜵㌹扢ㅤ戰㙥挴㉤敦㙡㜱戳摢昴摣搶搷㔸扦ㄱ敥戰攰㌶㙢捥㕤㙦㕡㌷㙥㤵㙦捣捦㍢㙦扥㜹㉢㡦慤ㄳ㥢搵捡㕤收㜵挰敦愸戸愶挱㜵扤㕡搹攴捣㌹㉡㥥ㅡ㈹愲㕣㘳㉤㤷㌴挶ㄸ㜷㠳敤㔲戵㠲晦㈳㕡㐱敦㘶㘹愳㕥㘷㠱㜰㈳㜷搷㡤晡㜴㍥挳摦㘸㌵户㉣慦换搲扥ㄴ㐹昷户㉣扥㙥昹㙣挶㝦㔷戰㜷慣㘰㥢㔱㑦昳㔷扡慥㥤挲㑤㈶慦㑣摢㘸愰愴搲㐶戵㔲㙤㕢㍣㤲㉣㘹㠳㙢搳㘶换㥤㑡㈳愲挸㌵㜲㤴搴愳攴〶戶㈲昷㈴㈹㌳㔴改愸搲〶慡㤳㈳㉢㡢㜲㘹戱慣愴晥〵㡢ㅢ㕤㤸挳㑣搵戴㔴戳愹㥡㉤搵戴㔵㤳愹愶愳㥡摢慡搹㔶㑤㔷㌵ㅦ慡收づ收っ㡢㥥挹愸㠳㜲㜱攱晤㍦扢㤷搷ㄶ㍦晣挶愷㝦㍢扢昰挱捦昳挴㙢ㅤ㘷㉢慤戳攸㠸っ㐱愳㌳㍤扤㉥昳㤸慤昹昱㔵搴㤸㘸ㄹ㜴㑦慢㠱捤昶搲㘸攱晥昲㝥㌵っ㈲戶ㄷ搵慣挸捡昸㥢ㄶ㘷㐱㘴㘰搲慣㕣ㄵ户㘸攵㡣ㅣㅢ慥捥づ㝡攰㔰㤰捤ㄱ㉥㌹㌹㄰㜳㔲攰㝡挹㔴㕣敢改㘹捥㝣搷ㄲ敤挸㙡㝡散昲挴㤵㤳摥㘰㘵敦㐶慥㈷㑡㘰戹挲挳㙥㠷㌴㝡㔴㝣愴㈱㤳㘱愴㘷㔰㐹攸愱㉦㌶㔸㌴㡥攱㤳㌵㠸㘸㄰㤱㘰〹ㅦ㤴㈱㉤㝦〲ㅤ㠸㔸ぢ㝤换つ㡥攸㜲昳㈷挱昴晥挰㡡㙢摣敡挱㈳ㅦ戳㝥扤㌴㐷晦㍥ㅦ㤲㠰㐸捥扣㜳搳㈹㤷敤昹㌹敢扡愵㤱ぢ㍣慢㐷㥤挲㥡扣晦挰つ散戰㈷㕤散㠴て晦㤱㙥搳攸㜷㤸ㅣ捡㍢つ㡢㙦㌳戸㉤㕦慤㥤㜲慡㈱攷捣戳㈲㘶换〱㐲攸戳攳㠳㘲㤹㠷㍥㡤㕦愸㔸㠲㍤㜶摦㔹㈷摥愸ㄲ㜶〳㕢扣㌴㥤㔸㡦挰晡晣㈴敤㌱㤳〳换敡㠰㌴㈶愴愴㤷㈶㤷㐹攳㕦摡㜳㘳昲挵〹㌲㐰㉤㙣㍥㤹扡捣搹㌷昷愹〷㈴㕡㐲㤸摡㘵㐴㍦㜰捡㤸ㄴ换〵〸ち〵ぢ愴㜸戳晥愶摢摡㘱扣捥㈸挸㌱㕢ㅥ昵㌴㤱ㄸ晣戱挵挴散〶愹ㅥ愸㙡扦㌲㍡敡摣搹㡢ㄸ扣搹㠶扣㠸㌶㔱扦㐱㥥㜴㘶㙣㑡扣㈷〸攷挶㠶㤷挳㔶㔷㤰搷昲搰ㅢ愷㉣搹扢ㄶ昶戴搷㐲㥢愵㔲㙡㌲㤱㑡愴愸㈰㡣㈶㤳㜰攵戹〹㐷㤵㈱㠳㜸㡢㔱㙣ㅥ戱ㅣ〲攷敢㑦戵㘸摣扣㘸摤㌴挸搸㡦晦捡㡢攳扥㔲㝡〷摡㠳㤶㍣㐶㡥愴㑥㈲捡㠸愰㡦慤㠶㌶㤹㡡愷昱㠹㐶㜴㐶㜶㑢戳㕦㝤昲㔱㈴摢㝤换昸晦㑥㔶搵㤳㠳搳摦搹〵㘶摦戵〲摢㘳晣扦敢㡢㈴㌲挸戳㡤搳㔴㥤㐱㤵㑤㘸㥦〰摤㥥愸㐹㑡㤴㤴㍤愵慦昵㕣㍢㙡愷摢捣摤㙥㐷ㄸ㐳㝥愵敢愴收つ愰攴㍣㘰晥㈷㐸戰摥愷㈴换㜸㤱慡㜳愸戲搹㙣㡣㥦改慣昱㤲散㈷㔲㠴慣搳㠴摣㡦〳ㄴ攰戲昷㐲换㕥戶㕡挸换㌲㠳慣㑣慦㠶㝥〷搱㠹ㄷ㘸㘶ㄵ戶〹㥢摦㜵㙤挶㜵ㅡ愸㈳晢㑢㈱㈹ㄳ㘹改搹〲㘱㈷㤹搰戴㥣㍥㙤慦搵㈱慦换〳つ㡥㘶㤷慢〷昸晦晤晥慤〵㍡㔸㌶㑢ㄹ㤳㜱㠱慡㡢愸㌴搲攴㌳㝢挳㜱㉣㍡攳搷摢㘱敦㉥㔴挹㐴㥣昴㠸㉡㜷愳戳〷㠷ㄱ㐶㉤晦㥣ㅣ㕦攱っ〰挸ㅢ挰〱㜹㐶㕡㜱㝥㉡㐵㉥㍡㉦㡤㜱挴つ㘷㥤㉤㤷昵〸扣㕦㍥㐸㐲搶㔶敤㡡㈸㤴㔱晦搲㐱㝡㉤㕣て愳㥡㉢㍡㥥搵扦㍣㠵ㅣ㔳ㅥ戴㔹〰散攲㠰戰捦㥢ㄴ㜶㍡捣㥥㈲㘳㍤散昲ㄶ㕢慤㍤て攸㠷㥢㡡㡢㈲㠱㑦搱㤵戴慡愰ㅣ捥昱ㄴ㜲㠹挴户㑥晤㙣攵搱㝢摦㔹愰㤸慣㘴戳挶㈵㝣攱㈶ㅡ㌹攴㘱㐰㤲㜲㤴㤹戱搰㝣㥡㔲昰㌵㍣㕢摣㡥挷㉡ㄶ㠷㜱㠷㕣ㄸ晥戰ㄹㅢ摦㐸㌲ㅣ㝢捣昳愰㜰㐴㥡㌸挶㤴㥥㡣戱㈳㠲㑢㍢㈴㠳㈶㕣㔳㑥㑤〴〳㜹㙥㐲愸㐳摥㤷昶〸戸昸㡣㠲搰㑢㌳戳㑢㠹戵㘹㈲㔱㐵㡦㡡愲晤ㄵ慣愶捡㐷昰㥡ち攸愹㈴㔷㘵㜷㠲戰ㄷ㐸挹㌵㐱昹づ㌱㌴㌲ㄹ㍡㐶ㄶ㝦戲捣㈳ㄲ挳㜴挸㙡〸挱㘷愷改㉡捥㑢昷摦㜲慢㌶㐲挴攰昱㤶愷挷㕢㠳㌳昹㐲搳㘵〷㉡㥣昱ㅦ㠴㝣愷ㄹ㠶㍢昴㕡㌸㈶㝢愲捤㔸㐴慦愹㥣ㅦ㍦〹愹つ晢㑦㈶挷㕥㑣〳扤ㄳ㤱戲㘲㤹㌱愷㕦㐱㉢戹捣㕢戲愷晣〹攷愷㤷搶㍦ㅥ搹挵㕦扤晤捦敡て㝥㜱㡤㝦愱昶摤㑢捡ㅦ〷㠴㑦㍦晢换搶㙢㉦晣㝡昱挷换㝦昸㝥㘱敤㡢ㅦ㘹ㄴ㐴㥥㉡㠰ㄷ㌰昱戸戳㡦㕦つ㌷昲㔸捥㠹㑤㠳摡扡〳㐴㐲㜲㘵㘷㥣㐶ㅢ愷慥捤㌸㉢摣戵㍤㌷㘰㘴㍡㐸㕢改攵㜹㡦㙤㈳㤱摡っ改㤵ㅢ〶㌳㑥㠳㕢㠱愰㜸ㄳ戴晡㈷挶㝡搲㕢㌴愷攲〶〲摢㐸捣愴昶㜱㠷㈰ㅤ㌷搷昵㠳ㄵ慢㈳㥥〷㜷㤲㍦㝣㐰㍤㈸㌱㠰愹㡡慡㉡扡慡ㅦ搲㈳ㄲ改㉦㠱搵戵ㄱて㝣慢㜸㡦敤㌲て挱搷㉥戶㐲ㄱㄵ㐳愷搸攱愱摤㙤㐵挵㡦㝦㔹㤴扡㐲㈶愶㑡散㔳㕦㈷㐹㘲挳㈵㉣㝣晡戴㡢扣㈰㉦㝦㘹ㄸ攴挳挹㘹㘱㝤㍦㉦㤴㘹捥㤷戱㐶愱慣㐳扡搰慢㠳〶㜵ちㄴ挱㈹愰愷慦愰㝡愱㕡㌱㘳敢ㅥ㍡㐹晡㉢ㄸ㍥㠶攱㤱攴慦㐰〱㕦㘶㌷戳㘸挸ㅦㄵㄴ㠲㙥挹晣戵㐱㠳㍡㡡摣㤷收㤴㔰つ㑢㠱昶㈷㕦㌷慥愱㥡㐹㉡挴㠵㥣㌷㍤㐷晤㈵捦㉢づ摤㑦ㄸ㌴㤴㉥愳扡㔲㠷㜹攱㜹㘹㌵㕤て捥㕢㜴㤰ぢ戰ㅥ摣戴戸戶搱㌰搹㥥攵〳攱㑢㝢㥥昰㤵摦て晣㠸㍤晣㘱扤昳敦晢㙦㝦慦㈷㌶㝢㐹昷㐷捡敦〶㠴挹ㅦ㈷ち㈴戴㤴攸〶㐹㤰㉣っ挵搵㐸挲慦㑥挳㤴〳ㄹ昱散攴昳攳づ㥥ㄳ㝤搲㔲ㄲ愹㤸㈶㙦㍦愵扥㜵㌸㕥㐳㕣愷换搴㝥㡢㔳晣て㝣攸㘲挶㘱昹㘵㡣ㄸ㙦愰㔲攸昸㜴㘴攵㌷搸㠳昶昹㍡㍡扡慡㘸㐴㥤挴㙣㑡㌳㤷改㠰ㄳ改㜰㉥㐷〸晤搳㠵㑦ㄶ扦扤昸挱㔲敥㍦㙤㠲㡣捦</t>
  </si>
  <si>
    <t>Energy electrolyser</t>
  </si>
  <si>
    <t>Maintenance and repair cost (%)</t>
  </si>
  <si>
    <t>Energy DSP</t>
  </si>
  <si>
    <t>Input variables:</t>
  </si>
  <si>
    <t>Levelized cost of production</t>
  </si>
  <si>
    <t>Target forecast:</t>
  </si>
  <si>
    <r>
      <rPr>
        <b/>
        <sz val="9"/>
        <color theme="1"/>
        <rFont val="Verdana"/>
        <family val="2"/>
      </rPr>
      <t>Options selected</t>
    </r>
    <r>
      <rPr>
        <sz val="9"/>
        <color theme="1"/>
        <rFont val="Verdana"/>
        <family val="2"/>
      </rPr>
      <t>: Test range -10% to 10%, simulation done for all precedents with only top 5 variables shown in graph</t>
    </r>
  </si>
  <si>
    <t xml:space="preserve">Notwithstanding that this template has been prepared by the developers with the utmost care, using reliable sources, this template is provided on an "AS IS" and "AS AVAILABLE" basis. The developers make no warranties of any kind, express or implied, including but not limited to warranties of merchantability, fitness for a particular purpose or non-infringement of intellectual property rights, with respect to this template. The developers do not accept any responsibility or liability in relation to the use of this template. Use of this template by the user is at his/her own risk. The developers of the template are not responsible for mistakes, inaccurate data, wrong use and interpretation of the results. 
This template cannot be reproduced or publicly distributed in whole or in part without prior written consent of Vlaio and the developers. </t>
  </si>
  <si>
    <t>Electricity BE - grid (2018) - medium voltage</t>
  </si>
  <si>
    <t>Electricity - renewables (NO) - medium voltage</t>
  </si>
  <si>
    <t xml:space="preserve">Diesel - average blend </t>
  </si>
  <si>
    <t xml:space="preserve">Diesel - direct emissions from combustion </t>
  </si>
  <si>
    <t xml:space="preserve">Natural gas - direct emissions from combustion </t>
  </si>
  <si>
    <t>Heat - NG - high temperature industrial</t>
  </si>
  <si>
    <t xml:space="preserve">Heat - NG - low temperature industrial, including commercial and domestic </t>
  </si>
  <si>
    <t>Heat - oil - average</t>
  </si>
  <si>
    <t>Heat - gas CHP</t>
  </si>
  <si>
    <t xml:space="preserve">Heat - biogas - average </t>
  </si>
  <si>
    <t xml:space="preserve">Heat - biomass - average </t>
  </si>
  <si>
    <t>Transport - air, long haul</t>
  </si>
  <si>
    <t>Transport - air, short haul</t>
  </si>
  <si>
    <t>Transport - road (truck)</t>
  </si>
  <si>
    <t>Transport - shipping (see tanker, general)</t>
  </si>
  <si>
    <t>These calculations are done using the Crystal Ball add-in of Excel and are only valid for the selected scenario</t>
  </si>
  <si>
    <r>
      <rPr>
        <b/>
        <sz val="9"/>
        <color theme="1"/>
        <rFont val="Verdana"/>
        <family val="2"/>
      </rPr>
      <t>Scenario selected:</t>
    </r>
    <r>
      <rPr>
        <sz val="9"/>
        <color theme="1"/>
        <rFont val="Verdana"/>
        <family val="2"/>
      </rPr>
      <t xml:space="preserve"> PEM electrolyser, sale of oxygen included. </t>
    </r>
  </si>
  <si>
    <t>Variable</t>
  </si>
  <si>
    <t>Contribution to variance</t>
  </si>
  <si>
    <t xml:space="preserve">The values will not automatically update!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</si>
</sst>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164" formatCode="_-[$€-2]\ * #,##0.00_-;\-[$€-2]\ * #,##0.00_-;_-[$€-2]\ * &quot;-&quot;??_-;_-@_-"/>
    <numFmt numFmtId="165" formatCode="0.0"/>
    <numFmt numFmtId="166" formatCode="0.000"/>
    <numFmt numFmtId="167" formatCode="_-[$€-2]\ * #,##0_-;\-[$€-2]\ * #,##0_-;_-[$€-2]\ * &quot;-&quot;??_-;_-@_-"/>
    <numFmt numFmtId="168" formatCode="#,##0.0"/>
    <numFmt numFmtId="169" formatCode="[$€-2]\ #,##0;\-[$€-2]\ #,##0"/>
    <numFmt numFmtId="170" formatCode="#,##0\ &quot;€&quot;"/>
    <numFmt numFmtId="171" formatCode="[$]dd/mm/yyyy;@" x16r2:formatCode16="[$-en-BE,1]dd/mm/yyyy;@"/>
    <numFmt numFmtId="172" formatCode="0.0%"/>
    <numFmt numFmtId="173" formatCode="_-[$€-2]\ * #,##0_-;\-[$€-2]\ * #,##0_-;_-[$€-2]\ * &quot;-&quot;_-;_-@_-"/>
    <numFmt numFmtId="174" formatCode="_ &quot;€&quot;\ * #,##0_ ;_ &quot;€&quot;\ * \-#,##0_ ;_ &quot;€&quot;\ * &quot;-&quot;??_ ;_ @_ "/>
    <numFmt numFmtId="175" formatCode="0.0000"/>
  </numFmts>
  <fonts count="46" x14ac:knownFonts="1">
    <font>
      <sz val="11"/>
      <color theme="1"/>
      <name val="Calibri"/>
      <family val="2"/>
      <scheme val="minor"/>
    </font>
    <font>
      <sz val="11"/>
      <color theme="1"/>
      <name val="Calibri"/>
      <family val="2"/>
      <scheme val="minor"/>
    </font>
    <font>
      <sz val="9"/>
      <color theme="1"/>
      <name val="Verdana"/>
      <family val="2"/>
    </font>
    <font>
      <b/>
      <sz val="16"/>
      <color theme="1"/>
      <name val="Verdana"/>
      <family val="2"/>
    </font>
    <font>
      <b/>
      <sz val="9"/>
      <color theme="1"/>
      <name val="Verdana"/>
      <family val="2"/>
    </font>
    <font>
      <i/>
      <sz val="9"/>
      <color theme="1"/>
      <name val="Verdana"/>
      <family val="2"/>
    </font>
    <font>
      <b/>
      <i/>
      <sz val="9"/>
      <color theme="1"/>
      <name val="Verdana"/>
      <family val="2"/>
    </font>
    <font>
      <sz val="9"/>
      <color indexed="81"/>
      <name val="Tahoma"/>
      <family val="2"/>
    </font>
    <font>
      <i/>
      <sz val="9"/>
      <name val="Verdana"/>
      <family val="2"/>
    </font>
    <font>
      <b/>
      <sz val="9"/>
      <name val="Verdana"/>
      <family val="2"/>
    </font>
    <font>
      <sz val="9"/>
      <name val="Verdana"/>
      <family val="2"/>
    </font>
    <font>
      <i/>
      <sz val="9"/>
      <color indexed="81"/>
      <name val="Tahoma"/>
      <family val="2"/>
    </font>
    <font>
      <sz val="9"/>
      <color theme="0" tint="-0.34998626667073579"/>
      <name val="Verdana"/>
      <family val="2"/>
    </font>
    <font>
      <b/>
      <sz val="9"/>
      <color theme="0" tint="-0.34998626667073579"/>
      <name val="Verdana"/>
      <family val="2"/>
    </font>
    <font>
      <sz val="8"/>
      <name val="Calibri"/>
      <family val="2"/>
      <scheme val="minor"/>
    </font>
    <font>
      <vertAlign val="subscript"/>
      <sz val="9"/>
      <color theme="1"/>
      <name val="Verdana"/>
      <family val="2"/>
    </font>
    <font>
      <b/>
      <vertAlign val="subscript"/>
      <sz val="9"/>
      <color theme="1"/>
      <name val="Verdana"/>
      <family val="2"/>
    </font>
    <font>
      <sz val="9"/>
      <color theme="4"/>
      <name val="Verdana"/>
      <family val="2"/>
    </font>
    <font>
      <b/>
      <sz val="9"/>
      <color theme="1"/>
      <name val="Calibri"/>
      <family val="2"/>
      <scheme val="minor"/>
    </font>
    <font>
      <i/>
      <u/>
      <sz val="9"/>
      <color indexed="81"/>
      <name val="Tahoma"/>
      <family val="2"/>
    </font>
    <font>
      <sz val="11"/>
      <color rgb="FF000000"/>
      <name val="Calibri"/>
      <family val="2"/>
      <scheme val="minor"/>
    </font>
    <font>
      <b/>
      <sz val="11"/>
      <color rgb="FFFF0000"/>
      <name val="Calibri"/>
      <family val="2"/>
      <scheme val="minor"/>
    </font>
    <font>
      <vertAlign val="subscript"/>
      <sz val="11"/>
      <color theme="1"/>
      <name val="Calibri"/>
      <family val="2"/>
      <scheme val="minor"/>
    </font>
    <font>
      <sz val="11"/>
      <color rgb="FFFF0000"/>
      <name val="Calibri"/>
      <family val="2"/>
      <scheme val="minor"/>
    </font>
    <font>
      <b/>
      <sz val="11"/>
      <color theme="1"/>
      <name val="Calibri"/>
      <family val="2"/>
      <scheme val="minor"/>
    </font>
    <font>
      <sz val="9"/>
      <color rgb="FF000000"/>
      <name val="Verdana"/>
      <family val="2"/>
    </font>
    <font>
      <vertAlign val="subscript"/>
      <sz val="9"/>
      <color rgb="FF000000"/>
      <name val="Verdana"/>
      <family val="2"/>
    </font>
    <font>
      <sz val="9"/>
      <color rgb="FFA6A6A6"/>
      <name val="Verdana"/>
      <family val="2"/>
    </font>
    <font>
      <vertAlign val="subscript"/>
      <sz val="9"/>
      <color rgb="FFA6A6A6"/>
      <name val="Verdana"/>
      <family val="2"/>
    </font>
    <font>
      <b/>
      <i/>
      <vertAlign val="subscript"/>
      <sz val="9"/>
      <color theme="1"/>
      <name val="Verdana"/>
      <family val="2"/>
    </font>
    <font>
      <u/>
      <sz val="9"/>
      <color indexed="81"/>
      <name val="Tahoma"/>
      <family val="2"/>
    </font>
    <font>
      <b/>
      <sz val="9"/>
      <color rgb="FFFF0000"/>
      <name val="Verdana"/>
      <family val="2"/>
    </font>
    <font>
      <u/>
      <sz val="11"/>
      <color theme="10"/>
      <name val="Calibri"/>
      <family val="2"/>
      <scheme val="minor"/>
    </font>
    <font>
      <b/>
      <sz val="12"/>
      <color rgb="FFFF0000"/>
      <name val="Verdana"/>
      <family val="2"/>
    </font>
    <font>
      <vertAlign val="subscript"/>
      <sz val="9"/>
      <name val="Verdana"/>
      <family val="2"/>
    </font>
    <font>
      <sz val="9"/>
      <color rgb="FF444444"/>
      <name val="Verdana"/>
      <family val="2"/>
    </font>
    <font>
      <i/>
      <vertAlign val="subscript"/>
      <sz val="9"/>
      <color theme="1"/>
      <name val="Verdana"/>
      <family val="2"/>
    </font>
    <font>
      <sz val="10"/>
      <color theme="1"/>
      <name val="Verdana"/>
      <family val="2"/>
    </font>
    <font>
      <b/>
      <sz val="9"/>
      <color theme="0"/>
      <name val="Verdana"/>
      <family val="2"/>
    </font>
    <font>
      <sz val="9"/>
      <color theme="0"/>
      <name val="Verdana"/>
      <family val="2"/>
    </font>
    <font>
      <sz val="9"/>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sz val="10"/>
      <color indexed="9"/>
      <name val="Calibri"/>
      <family val="2"/>
      <scheme val="minor"/>
    </font>
    <font>
      <sz val="9"/>
      <color indexed="81"/>
      <name val="Tahoma"/>
      <charset val="1"/>
    </font>
  </fonts>
  <fills count="1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rgb="FFDADEB8"/>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34998626667073579"/>
        <bgColor theme="0"/>
      </patternFill>
    </fill>
    <fill>
      <patternFill patternType="solid">
        <fgColor theme="1" tint="0.34998626667073579"/>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0" tint="-4.9989318521683403E-2"/>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bottom/>
      <diagonal/>
    </border>
    <border>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top/>
      <bottom style="thin">
        <color theme="1"/>
      </bottom>
      <diagonal/>
    </border>
    <border>
      <left style="thin">
        <color theme="1"/>
      </left>
      <right/>
      <top/>
      <bottom/>
      <diagonal/>
    </border>
    <border>
      <left/>
      <right/>
      <top style="thin">
        <color indexed="64"/>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style="thin">
        <color indexed="64"/>
      </right>
      <top/>
      <bottom/>
      <diagonal/>
    </border>
    <border>
      <left style="medium">
        <color theme="1"/>
      </left>
      <right/>
      <top/>
      <bottom style="medium">
        <color theme="1"/>
      </bottom>
      <diagonal/>
    </border>
    <border>
      <left/>
      <right/>
      <top/>
      <bottom style="medium">
        <color theme="1"/>
      </bottom>
      <diagonal/>
    </border>
    <border>
      <left/>
      <right/>
      <top style="thin">
        <color indexed="64"/>
      </top>
      <bottom style="medium">
        <color theme="1"/>
      </bottom>
      <diagonal/>
    </border>
    <border>
      <left/>
      <right style="medium">
        <color theme="1"/>
      </right>
      <top/>
      <bottom style="medium">
        <color theme="1"/>
      </bottom>
      <diagonal/>
    </border>
    <border>
      <left style="medium">
        <color indexed="64"/>
      </left>
      <right/>
      <top/>
      <bottom/>
      <diagonal/>
    </border>
    <border>
      <left style="medium">
        <color indexed="64"/>
      </left>
      <right/>
      <top style="thin">
        <color indexed="64"/>
      </top>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right style="thin">
        <color theme="1"/>
      </right>
      <top/>
      <bottom/>
      <diagonal/>
    </border>
    <border>
      <left style="medium">
        <color theme="1"/>
      </left>
      <right/>
      <top style="thin">
        <color indexed="64"/>
      </top>
      <bottom style="thin">
        <color theme="1"/>
      </bottom>
      <diagonal/>
    </border>
    <border>
      <left/>
      <right style="medium">
        <color theme="1"/>
      </right>
      <top style="thin">
        <color indexed="64"/>
      </top>
      <bottom style="thin">
        <color theme="1"/>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diagonal/>
    </border>
    <border>
      <left/>
      <right style="thin">
        <color theme="1"/>
      </right>
      <top style="thin">
        <color indexed="64"/>
      </top>
      <bottom/>
      <diagonal/>
    </border>
  </borders>
  <cellStyleXfs count="8">
    <xf numFmtId="0" fontId="0" fillId="2" borderId="0"/>
    <xf numFmtId="0" fontId="1" fillId="5" borderId="0"/>
    <xf numFmtId="9" fontId="1" fillId="0" borderId="0" applyFont="0" applyFill="0" applyBorder="0" applyAlignment="0" applyProtection="0"/>
    <xf numFmtId="0" fontId="2" fillId="9" borderId="7"/>
    <xf numFmtId="0" fontId="2" fillId="3" borderId="7"/>
    <xf numFmtId="44" fontId="1" fillId="0" borderId="0" applyFont="0" applyFill="0" applyBorder="0" applyAlignment="0" applyProtection="0"/>
    <xf numFmtId="0" fontId="32" fillId="0" borderId="0" applyNumberFormat="0" applyFill="0" applyBorder="0" applyAlignment="0" applyProtection="0"/>
    <xf numFmtId="0" fontId="1" fillId="0" borderId="0"/>
  </cellStyleXfs>
  <cellXfs count="552">
    <xf numFmtId="0" fontId="0" fillId="2" borderId="0" xfId="0"/>
    <xf numFmtId="0" fontId="2" fillId="2" borderId="0" xfId="0" applyFont="1"/>
    <xf numFmtId="0" fontId="2" fillId="2" borderId="0" xfId="0" applyFont="1" applyAlignment="1">
      <alignment horizontal="center"/>
    </xf>
    <xf numFmtId="0" fontId="3" fillId="2" borderId="0" xfId="0" applyFont="1"/>
    <xf numFmtId="0" fontId="2" fillId="2" borderId="1" xfId="0" applyFont="1" applyBorder="1" applyAlignment="1">
      <alignment horizontal="left" vertical="center" wrapText="1"/>
    </xf>
    <xf numFmtId="0" fontId="4" fillId="2" borderId="1" xfId="0" applyFont="1" applyBorder="1" applyAlignment="1">
      <alignment vertical="center"/>
    </xf>
    <xf numFmtId="0" fontId="4" fillId="2" borderId="0" xfId="0" applyFont="1"/>
    <xf numFmtId="0" fontId="2" fillId="2" borderId="4" xfId="0" applyFont="1" applyBorder="1"/>
    <xf numFmtId="0" fontId="4" fillId="3" borderId="0" xfId="0" applyFont="1" applyFill="1"/>
    <xf numFmtId="0" fontId="2" fillId="3" borderId="0" xfId="0" applyFont="1" applyFill="1"/>
    <xf numFmtId="0" fontId="4" fillId="3" borderId="3" xfId="0" applyFont="1" applyFill="1" applyBorder="1"/>
    <xf numFmtId="0" fontId="2" fillId="3" borderId="4" xfId="0" applyFont="1" applyFill="1" applyBorder="1"/>
    <xf numFmtId="0" fontId="2" fillId="2" borderId="0" xfId="0" applyFont="1" applyAlignment="1">
      <alignment vertical="center" wrapText="1"/>
    </xf>
    <xf numFmtId="0" fontId="6" fillId="2" borderId="0" xfId="0" applyFont="1"/>
    <xf numFmtId="0" fontId="2" fillId="4" borderId="0" xfId="0" applyFont="1" applyFill="1"/>
    <xf numFmtId="0" fontId="5" fillId="2" borderId="0" xfId="0" applyFont="1" applyAlignment="1" applyProtection="1">
      <alignment horizontal="left"/>
      <protection locked="0"/>
    </xf>
    <xf numFmtId="0" fontId="2" fillId="4" borderId="0" xfId="0" applyFont="1" applyFill="1" applyAlignment="1">
      <alignment horizontal="right"/>
    </xf>
    <xf numFmtId="0" fontId="4" fillId="4" borderId="0" xfId="0" applyFont="1" applyFill="1"/>
    <xf numFmtId="0" fontId="2" fillId="4" borderId="7" xfId="0" applyFont="1" applyFill="1" applyBorder="1"/>
    <xf numFmtId="0" fontId="2" fillId="2" borderId="7" xfId="0" applyFont="1" applyBorder="1"/>
    <xf numFmtId="0" fontId="2" fillId="3" borderId="7" xfId="0" applyFont="1" applyFill="1" applyBorder="1"/>
    <xf numFmtId="0" fontId="2" fillId="3" borderId="0" xfId="0" applyFont="1" applyFill="1" applyAlignment="1">
      <alignment horizontal="right"/>
    </xf>
    <xf numFmtId="0" fontId="5" fillId="3" borderId="0" xfId="0" applyFont="1" applyFill="1" applyAlignment="1" applyProtection="1">
      <alignment horizontal="left"/>
      <protection locked="0"/>
    </xf>
    <xf numFmtId="0" fontId="2" fillId="2" borderId="0" xfId="0" applyFont="1" applyAlignment="1" applyProtection="1">
      <alignment horizontal="left"/>
      <protection locked="0"/>
    </xf>
    <xf numFmtId="0" fontId="9" fillId="4" borderId="4" xfId="0" applyFont="1" applyFill="1" applyBorder="1" applyProtection="1">
      <protection locked="0"/>
    </xf>
    <xf numFmtId="0" fontId="2" fillId="4" borderId="4" xfId="0" applyFont="1" applyFill="1" applyBorder="1" applyProtection="1">
      <protection locked="0"/>
    </xf>
    <xf numFmtId="0" fontId="9" fillId="4" borderId="4"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9" fillId="4" borderId="0" xfId="0" applyFont="1" applyFill="1" applyProtection="1">
      <protection locked="0"/>
    </xf>
    <xf numFmtId="0" fontId="10" fillId="4" borderId="0" xfId="0" applyFont="1" applyFill="1" applyProtection="1">
      <protection locked="0"/>
    </xf>
    <xf numFmtId="0" fontId="8" fillId="2" borderId="0" xfId="0" applyFont="1" applyProtection="1">
      <protection locked="0"/>
    </xf>
    <xf numFmtId="3" fontId="2" fillId="2" borderId="0" xfId="0" applyNumberFormat="1" applyFont="1" applyAlignment="1" applyProtection="1">
      <alignment horizontal="right"/>
      <protection locked="0"/>
    </xf>
    <xf numFmtId="0" fontId="2" fillId="2" borderId="0" xfId="0" applyFont="1" applyAlignment="1" applyProtection="1">
      <alignment horizontal="center"/>
      <protection locked="0"/>
    </xf>
    <xf numFmtId="3" fontId="2" fillId="2" borderId="0" xfId="0" applyNumberFormat="1" applyFont="1" applyProtection="1">
      <protection locked="0"/>
    </xf>
    <xf numFmtId="0" fontId="9" fillId="2" borderId="0" xfId="0" applyFont="1" applyProtection="1">
      <protection locked="0"/>
    </xf>
    <xf numFmtId="0" fontId="2" fillId="4" borderId="0" xfId="0" applyFont="1" applyFill="1" applyAlignment="1" applyProtection="1">
      <alignment horizontal="left"/>
      <protection locked="0"/>
    </xf>
    <xf numFmtId="3" fontId="2" fillId="4" borderId="0" xfId="0" applyNumberFormat="1" applyFont="1" applyFill="1" applyProtection="1">
      <protection locked="0"/>
    </xf>
    <xf numFmtId="0" fontId="2" fillId="4" borderId="0" xfId="0" applyFont="1" applyFill="1" applyAlignment="1" applyProtection="1">
      <alignment horizontal="center"/>
      <protection locked="0"/>
    </xf>
    <xf numFmtId="0" fontId="2" fillId="4" borderId="4" xfId="0" applyFont="1" applyFill="1" applyBorder="1"/>
    <xf numFmtId="0" fontId="4" fillId="3" borderId="0" xfId="0" applyFont="1" applyFill="1" applyProtection="1">
      <protection locked="0"/>
    </xf>
    <xf numFmtId="0" fontId="4" fillId="3" borderId="4" xfId="0" applyFont="1" applyFill="1" applyBorder="1" applyProtection="1">
      <protection locked="0"/>
    </xf>
    <xf numFmtId="0" fontId="2" fillId="3" borderId="2" xfId="0" applyFont="1" applyFill="1" applyBorder="1"/>
    <xf numFmtId="0" fontId="2" fillId="2" borderId="9" xfId="0" applyFont="1" applyBorder="1"/>
    <xf numFmtId="0" fontId="3" fillId="2" borderId="0" xfId="0" applyFont="1" applyAlignment="1">
      <alignment horizontal="left"/>
    </xf>
    <xf numFmtId="0" fontId="2" fillId="2" borderId="0" xfId="0" quotePrefix="1" applyFont="1" applyAlignment="1">
      <alignment horizontal="left" indent="1"/>
    </xf>
    <xf numFmtId="0" fontId="2" fillId="6" borderId="0" xfId="0" applyFont="1" applyFill="1"/>
    <xf numFmtId="0" fontId="13" fillId="2" borderId="0" xfId="0" applyFont="1"/>
    <xf numFmtId="0" fontId="2" fillId="3" borderId="0" xfId="0" applyFont="1" applyFill="1" applyAlignment="1">
      <alignment horizontal="center"/>
    </xf>
    <xf numFmtId="0" fontId="2" fillId="4" borderId="0" xfId="0" applyFont="1" applyFill="1" applyAlignment="1">
      <alignment horizontal="center"/>
    </xf>
    <xf numFmtId="0" fontId="2" fillId="2" borderId="0" xfId="0" applyFont="1" applyAlignment="1">
      <alignment horizontal="left" vertical="center" wrapText="1"/>
    </xf>
    <xf numFmtId="0" fontId="5" fillId="2" borderId="0" xfId="0" applyFont="1"/>
    <xf numFmtId="0" fontId="2" fillId="2" borderId="0" xfId="0" applyFont="1" applyAlignment="1">
      <alignment horizontal="left" vertical="center" indent="1"/>
    </xf>
    <xf numFmtId="0" fontId="2" fillId="2" borderId="0" xfId="0" applyFont="1" applyAlignment="1">
      <alignment vertical="center"/>
    </xf>
    <xf numFmtId="0" fontId="2" fillId="2" borderId="1" xfId="0" applyFont="1" applyBorder="1" applyAlignment="1">
      <alignment horizontal="center" vertical="center" wrapText="1"/>
    </xf>
    <xf numFmtId="0" fontId="6" fillId="2" borderId="4" xfId="0" applyFont="1" applyBorder="1" applyAlignment="1">
      <alignment horizontal="center" vertical="center"/>
    </xf>
    <xf numFmtId="0" fontId="2" fillId="2" borderId="0" xfId="0" applyFont="1" applyAlignment="1">
      <alignment horizontal="left" indent="1"/>
    </xf>
    <xf numFmtId="0" fontId="5" fillId="2" borderId="1" xfId="0" applyFont="1" applyBorder="1" applyAlignment="1">
      <alignment horizontal="left" vertical="center" wrapText="1"/>
    </xf>
    <xf numFmtId="0" fontId="2" fillId="2" borderId="1" xfId="0" applyFont="1" applyBorder="1" applyAlignment="1">
      <alignment vertical="center"/>
    </xf>
    <xf numFmtId="9" fontId="2" fillId="2" borderId="0" xfId="0" applyNumberFormat="1" applyFont="1"/>
    <xf numFmtId="49" fontId="2" fillId="2" borderId="0" xfId="0" applyNumberFormat="1" applyFont="1" applyAlignment="1">
      <alignment horizontal="center"/>
    </xf>
    <xf numFmtId="49" fontId="2" fillId="3" borderId="0" xfId="0" applyNumberFormat="1" applyFont="1" applyFill="1" applyAlignment="1">
      <alignment horizontal="center"/>
    </xf>
    <xf numFmtId="0" fontId="5" fillId="2" borderId="0" xfId="0" applyFont="1" applyAlignment="1">
      <alignment vertical="center"/>
    </xf>
    <xf numFmtId="0" fontId="2" fillId="3" borderId="11" xfId="0" applyFont="1" applyFill="1" applyBorder="1"/>
    <xf numFmtId="0" fontId="2" fillId="4" borderId="11" xfId="0" applyFont="1" applyFill="1" applyBorder="1"/>
    <xf numFmtId="0" fontId="18" fillId="6" borderId="6" xfId="1" applyFont="1" applyFill="1" applyBorder="1"/>
    <xf numFmtId="0" fontId="4" fillId="6" borderId="5" xfId="1" applyFont="1" applyFill="1" applyBorder="1"/>
    <xf numFmtId="3" fontId="2" fillId="2" borderId="1" xfId="0" applyNumberFormat="1" applyFont="1" applyBorder="1" applyAlignment="1">
      <alignment horizontal="left" vertical="center" wrapText="1"/>
    </xf>
    <xf numFmtId="0" fontId="4" fillId="2" borderId="1" xfId="0" applyFont="1" applyBorder="1" applyAlignment="1">
      <alignment vertical="center" wrapText="1"/>
    </xf>
    <xf numFmtId="9" fontId="2" fillId="2" borderId="1" xfId="0" applyNumberFormat="1" applyFont="1" applyBorder="1" applyAlignment="1">
      <alignment horizontal="left" vertical="center" wrapText="1"/>
    </xf>
    <xf numFmtId="0" fontId="20" fillId="2" borderId="1" xfId="0" applyFont="1" applyBorder="1" applyAlignment="1">
      <alignment vertical="center" wrapText="1"/>
    </xf>
    <xf numFmtId="1" fontId="2" fillId="2" borderId="0" xfId="0" applyNumberFormat="1" applyFont="1" applyAlignment="1">
      <alignment horizontal="center"/>
    </xf>
    <xf numFmtId="1" fontId="2" fillId="4" borderId="0" xfId="0" applyNumberFormat="1" applyFont="1" applyFill="1" applyAlignment="1">
      <alignment horizontal="center"/>
    </xf>
    <xf numFmtId="0" fontId="4" fillId="6" borderId="0" xfId="0" applyFont="1" applyFill="1"/>
    <xf numFmtId="0" fontId="5" fillId="6" borderId="0" xfId="0" applyFont="1" applyFill="1" applyAlignment="1" applyProtection="1">
      <alignment horizontal="left"/>
      <protection locked="0"/>
    </xf>
    <xf numFmtId="0" fontId="2" fillId="6" borderId="0" xfId="0" applyFont="1" applyFill="1" applyAlignment="1">
      <alignment horizontal="center"/>
    </xf>
    <xf numFmtId="49" fontId="2" fillId="6" borderId="0" xfId="0" applyNumberFormat="1" applyFont="1" applyFill="1" applyAlignment="1">
      <alignment horizontal="center"/>
    </xf>
    <xf numFmtId="0" fontId="2" fillId="6" borderId="7" xfId="0" applyFont="1" applyFill="1" applyBorder="1"/>
    <xf numFmtId="0" fontId="2" fillId="6" borderId="0" xfId="0" applyFont="1" applyFill="1" applyAlignment="1">
      <alignment horizontal="right"/>
    </xf>
    <xf numFmtId="1" fontId="2" fillId="2" borderId="0" xfId="2" applyNumberFormat="1" applyFont="1" applyFill="1"/>
    <xf numFmtId="0" fontId="21" fillId="2" borderId="0" xfId="0" applyFont="1"/>
    <xf numFmtId="0" fontId="4" fillId="3" borderId="0" xfId="0" applyFont="1" applyFill="1" applyAlignment="1">
      <alignment horizontal="right"/>
    </xf>
    <xf numFmtId="0" fontId="5" fillId="3" borderId="0" xfId="0" applyFont="1" applyFill="1" applyAlignment="1">
      <alignment horizontal="right"/>
    </xf>
    <xf numFmtId="0" fontId="5" fillId="6" borderId="0" xfId="0" applyFont="1" applyFill="1" applyAlignment="1">
      <alignment horizontal="right"/>
    </xf>
    <xf numFmtId="0" fontId="4" fillId="3" borderId="3" xfId="0" applyFont="1" applyFill="1" applyBorder="1" applyAlignment="1">
      <alignment horizontal="right"/>
    </xf>
    <xf numFmtId="164" fontId="4" fillId="3" borderId="3" xfId="5" applyNumberFormat="1" applyFont="1" applyFill="1" applyBorder="1"/>
    <xf numFmtId="164" fontId="2" fillId="2" borderId="4" xfId="5" applyNumberFormat="1" applyFont="1" applyFill="1" applyBorder="1"/>
    <xf numFmtId="9" fontId="2" fillId="2" borderId="9" xfId="0" applyNumberFormat="1" applyFont="1" applyBorder="1"/>
    <xf numFmtId="165" fontId="2" fillId="2" borderId="9" xfId="0" applyNumberFormat="1" applyFont="1" applyBorder="1" applyAlignment="1">
      <alignment horizontal="center"/>
    </xf>
    <xf numFmtId="0" fontId="5" fillId="3" borderId="7" xfId="0" applyFont="1" applyFill="1" applyBorder="1" applyAlignment="1">
      <alignment horizontal="center"/>
    </xf>
    <xf numFmtId="9" fontId="2" fillId="2" borderId="0" xfId="2" applyFont="1" applyFill="1"/>
    <xf numFmtId="0" fontId="24" fillId="2" borderId="0" xfId="0" applyFont="1"/>
    <xf numFmtId="0" fontId="23" fillId="2" borderId="0" xfId="0" applyFont="1"/>
    <xf numFmtId="0" fontId="2" fillId="2" borderId="0" xfId="0" applyFont="1" applyAlignment="1">
      <alignment horizontal="center" vertical="center" wrapText="1"/>
    </xf>
    <xf numFmtId="9" fontId="2" fillId="2" borderId="0" xfId="0" applyNumberFormat="1" applyFont="1" applyAlignment="1">
      <alignment vertical="center"/>
    </xf>
    <xf numFmtId="0" fontId="4" fillId="2" borderId="0" xfId="0" applyFont="1" applyAlignment="1">
      <alignment vertical="center"/>
    </xf>
    <xf numFmtId="0" fontId="12" fillId="2" borderId="0" xfId="0" applyFont="1" applyAlignment="1">
      <alignment vertical="center"/>
    </xf>
    <xf numFmtId="0" fontId="4" fillId="2" borderId="0" xfId="0" applyFont="1" applyAlignment="1">
      <alignment horizontal="center" vertical="center" wrapText="1"/>
    </xf>
    <xf numFmtId="0" fontId="4" fillId="4" borderId="3" xfId="0"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1" fontId="4" fillId="4" borderId="3"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6"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0" fontId="4" fillId="6"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2" fillId="7" borderId="5" xfId="0" applyFont="1" applyFill="1" applyBorder="1"/>
    <xf numFmtId="0" fontId="4" fillId="7" borderId="5" xfId="0" applyFont="1" applyFill="1" applyBorder="1"/>
    <xf numFmtId="0" fontId="2" fillId="7" borderId="6" xfId="0" applyFont="1" applyFill="1" applyBorder="1"/>
    <xf numFmtId="0" fontId="2" fillId="4" borderId="12" xfId="0" applyFont="1" applyFill="1" applyBorder="1"/>
    <xf numFmtId="0" fontId="4" fillId="4" borderId="5" xfId="0" applyFont="1" applyFill="1" applyBorder="1"/>
    <xf numFmtId="0" fontId="4" fillId="2" borderId="4" xfId="0" applyFont="1" applyBorder="1" applyAlignment="1">
      <alignment horizontal="center"/>
    </xf>
    <xf numFmtId="3" fontId="2" fillId="2" borderId="0" xfId="0" applyNumberFormat="1" applyFont="1" applyAlignment="1">
      <alignment horizontal="center"/>
    </xf>
    <xf numFmtId="0" fontId="2" fillId="2" borderId="4" xfId="0" applyFont="1" applyBorder="1" applyAlignment="1">
      <alignment horizontal="center"/>
    </xf>
    <xf numFmtId="0" fontId="2" fillId="2" borderId="7" xfId="3" applyFill="1"/>
    <xf numFmtId="0" fontId="2" fillId="2" borderId="0" xfId="0" applyFont="1" applyAlignment="1">
      <alignment horizontal="center" wrapText="1"/>
    </xf>
    <xf numFmtId="0" fontId="2" fillId="2" borderId="0" xfId="0" applyFont="1" applyAlignment="1" applyProtection="1">
      <alignment horizontal="left" vertical="center"/>
      <protection locked="0"/>
    </xf>
    <xf numFmtId="1" fontId="2" fillId="2" borderId="0" xfId="0" applyNumberFormat="1" applyFont="1" applyAlignment="1">
      <alignment horizontal="center" vertical="center"/>
    </xf>
    <xf numFmtId="49" fontId="2" fillId="3" borderId="0" xfId="0" applyNumberFormat="1" applyFont="1" applyFill="1" applyAlignment="1">
      <alignment horizontal="center" vertical="center"/>
    </xf>
    <xf numFmtId="0" fontId="25" fillId="2" borderId="0" xfId="0" applyFont="1" applyAlignment="1">
      <alignment horizontal="center"/>
    </xf>
    <xf numFmtId="3" fontId="2" fillId="2" borderId="0" xfId="0" applyNumberFormat="1" applyFont="1"/>
    <xf numFmtId="3" fontId="2" fillId="2" borderId="0" xfId="2" applyNumberFormat="1" applyFont="1" applyFill="1"/>
    <xf numFmtId="0" fontId="5" fillId="3" borderId="12" xfId="0" applyFont="1" applyFill="1" applyBorder="1" applyAlignment="1">
      <alignment horizontal="center"/>
    </xf>
    <xf numFmtId="0" fontId="27" fillId="2" borderId="0" xfId="0" applyFont="1" applyAlignment="1">
      <alignment vertical="center"/>
    </xf>
    <xf numFmtId="0" fontId="2" fillId="2" borderId="0" xfId="0" applyFont="1" applyAlignment="1">
      <alignment horizontal="right"/>
    </xf>
    <xf numFmtId="14" fontId="2" fillId="2" borderId="0" xfId="0" applyNumberFormat="1" applyFont="1"/>
    <xf numFmtId="0" fontId="2" fillId="2" borderId="0" xfId="4" applyFill="1" applyBorder="1"/>
    <xf numFmtId="3" fontId="2" fillId="2" borderId="0" xfId="4" applyNumberFormat="1" applyFill="1" applyBorder="1"/>
    <xf numFmtId="166" fontId="25" fillId="2" borderId="0" xfId="0" applyNumberFormat="1" applyFont="1"/>
    <xf numFmtId="0" fontId="6" fillId="2" borderId="4" xfId="0" applyFont="1" applyBorder="1" applyAlignment="1">
      <alignment horizontal="center" vertical="center" wrapText="1"/>
    </xf>
    <xf numFmtId="0" fontId="6" fillId="2" borderId="4" xfId="0" applyFont="1" applyBorder="1" applyAlignment="1">
      <alignment vertical="center"/>
    </xf>
    <xf numFmtId="0" fontId="31" fillId="2" borderId="0" xfId="0" applyFont="1"/>
    <xf numFmtId="0" fontId="2" fillId="8" borderId="0" xfId="0" applyFont="1" applyFill="1"/>
    <xf numFmtId="0" fontId="9" fillId="8" borderId="0" xfId="0" applyFont="1" applyFill="1"/>
    <xf numFmtId="0" fontId="10" fillId="8" borderId="0" xfId="0" applyFont="1" applyFill="1"/>
    <xf numFmtId="14" fontId="2" fillId="2" borderId="1" xfId="0" applyNumberFormat="1" applyFont="1" applyBorder="1" applyAlignment="1">
      <alignment horizontal="left" vertical="center" wrapText="1"/>
    </xf>
    <xf numFmtId="0" fontId="32" fillId="2" borderId="1" xfId="6" applyFill="1" applyBorder="1" applyAlignment="1">
      <alignment horizontal="left" vertical="center" wrapText="1"/>
    </xf>
    <xf numFmtId="0" fontId="2" fillId="9" borderId="0" xfId="0" applyFont="1" applyFill="1"/>
    <xf numFmtId="9" fontId="2" fillId="9" borderId="7" xfId="3" applyNumberFormat="1" applyAlignment="1">
      <alignment vertical="center"/>
    </xf>
    <xf numFmtId="9" fontId="2" fillId="9" borderId="0" xfId="0" applyNumberFormat="1" applyFont="1" applyFill="1"/>
    <xf numFmtId="9" fontId="2" fillId="3" borderId="0" xfId="2" applyFont="1" applyFill="1"/>
    <xf numFmtId="3" fontId="2" fillId="3" borderId="0" xfId="4" applyNumberFormat="1" applyBorder="1"/>
    <xf numFmtId="9" fontId="2" fillId="3" borderId="0" xfId="0" applyNumberFormat="1" applyFont="1" applyFill="1"/>
    <xf numFmtId="0" fontId="2" fillId="3" borderId="0" xfId="4" applyBorder="1"/>
    <xf numFmtId="3" fontId="2" fillId="2" borderId="7" xfId="4" applyNumberFormat="1" applyFill="1"/>
    <xf numFmtId="49" fontId="2" fillId="4" borderId="0" xfId="0" applyNumberFormat="1" applyFont="1" applyFill="1" applyAlignment="1">
      <alignment horizontal="center"/>
    </xf>
    <xf numFmtId="0" fontId="2" fillId="9" borderId="7" xfId="0" applyFont="1" applyFill="1" applyBorder="1"/>
    <xf numFmtId="3" fontId="2" fillId="9" borderId="7" xfId="0" applyNumberFormat="1" applyFont="1" applyFill="1" applyBorder="1"/>
    <xf numFmtId="165" fontId="2" fillId="2" borderId="0" xfId="0" applyNumberFormat="1" applyFont="1"/>
    <xf numFmtId="9" fontId="2" fillId="9" borderId="7" xfId="0" applyNumberFormat="1" applyFont="1" applyFill="1" applyBorder="1"/>
    <xf numFmtId="3" fontId="2" fillId="2" borderId="0" xfId="0" applyNumberFormat="1" applyFont="1" applyAlignment="1" applyProtection="1">
      <alignment horizontal="center"/>
      <protection locked="0"/>
    </xf>
    <xf numFmtId="3" fontId="2" fillId="3" borderId="7" xfId="3" applyNumberFormat="1" applyFill="1"/>
    <xf numFmtId="167" fontId="4" fillId="3" borderId="3" xfId="5" applyNumberFormat="1" applyFont="1" applyFill="1" applyBorder="1"/>
    <xf numFmtId="167" fontId="2" fillId="2" borderId="0" xfId="0" applyNumberFormat="1" applyFont="1"/>
    <xf numFmtId="167" fontId="4" fillId="2" borderId="0" xfId="0" applyNumberFormat="1" applyFont="1"/>
    <xf numFmtId="3" fontId="2" fillId="9" borderId="0" xfId="0" applyNumberFormat="1" applyFont="1" applyFill="1"/>
    <xf numFmtId="3" fontId="2" fillId="3" borderId="7" xfId="0" applyNumberFormat="1" applyFont="1" applyFill="1" applyBorder="1"/>
    <xf numFmtId="167" fontId="2" fillId="3" borderId="0" xfId="0" applyNumberFormat="1" applyFont="1" applyFill="1" applyAlignment="1">
      <alignment horizontal="center"/>
    </xf>
    <xf numFmtId="3" fontId="2" fillId="3" borderId="0" xfId="0" applyNumberFormat="1" applyFont="1" applyFill="1" applyAlignment="1">
      <alignment horizontal="center"/>
    </xf>
    <xf numFmtId="9" fontId="12" fillId="2" borderId="0" xfId="2" applyFont="1" applyFill="1" applyAlignment="1">
      <alignment horizontal="left"/>
    </xf>
    <xf numFmtId="9" fontId="2" fillId="10" borderId="7" xfId="2" applyFont="1" applyFill="1" applyBorder="1"/>
    <xf numFmtId="9" fontId="2" fillId="10" borderId="0" xfId="2" applyFont="1" applyFill="1"/>
    <xf numFmtId="0" fontId="2" fillId="10" borderId="7" xfId="3" applyFill="1"/>
    <xf numFmtId="0" fontId="2" fillId="10" borderId="0" xfId="0" applyFont="1" applyFill="1"/>
    <xf numFmtId="0" fontId="2" fillId="11" borderId="0" xfId="0" applyFont="1" applyFill="1"/>
    <xf numFmtId="0" fontId="12" fillId="2" borderId="0" xfId="0" applyFont="1"/>
    <xf numFmtId="0" fontId="2" fillId="9" borderId="7" xfId="3"/>
    <xf numFmtId="0" fontId="25" fillId="6" borderId="11" xfId="0" applyFont="1" applyFill="1" applyBorder="1"/>
    <xf numFmtId="0" fontId="2" fillId="6" borderId="13" xfId="0" applyFont="1" applyFill="1" applyBorder="1"/>
    <xf numFmtId="169" fontId="2" fillId="2" borderId="1" xfId="0" applyNumberFormat="1" applyFont="1" applyBorder="1" applyAlignment="1">
      <alignment horizontal="left" vertical="center" wrapText="1"/>
    </xf>
    <xf numFmtId="14" fontId="2" fillId="2" borderId="1" xfId="0" applyNumberFormat="1" applyFont="1" applyBorder="1" applyAlignment="1">
      <alignment horizontal="center"/>
    </xf>
    <xf numFmtId="0" fontId="4" fillId="2" borderId="0" xfId="0" applyFont="1" applyAlignment="1">
      <alignment horizontal="left" vertical="center"/>
    </xf>
    <xf numFmtId="0" fontId="2" fillId="2" borderId="10" xfId="0" applyFont="1" applyBorder="1"/>
    <xf numFmtId="0" fontId="2" fillId="6" borderId="12" xfId="0" applyFont="1" applyFill="1" applyBorder="1"/>
    <xf numFmtId="0" fontId="2" fillId="2" borderId="0" xfId="0" applyFont="1" applyAlignment="1">
      <alignment horizontal="center" vertical="center"/>
    </xf>
    <xf numFmtId="0" fontId="2" fillId="2" borderId="4" xfId="0" applyFont="1" applyBorder="1" applyAlignment="1">
      <alignment horizontal="center" vertical="center"/>
    </xf>
    <xf numFmtId="0" fontId="2" fillId="6" borderId="4" xfId="0" applyFont="1" applyFill="1" applyBorder="1" applyAlignment="1">
      <alignment horizontal="right"/>
    </xf>
    <xf numFmtId="0" fontId="2" fillId="9" borderId="7" xfId="4" applyFill="1"/>
    <xf numFmtId="0" fontId="25" fillId="6" borderId="17" xfId="0" applyFont="1" applyFill="1" applyBorder="1"/>
    <xf numFmtId="0" fontId="4" fillId="6" borderId="3" xfId="0" applyFont="1" applyFill="1" applyBorder="1" applyAlignment="1">
      <alignment horizontal="center" vertical="center"/>
    </xf>
    <xf numFmtId="0" fontId="4" fillId="7" borderId="3" xfId="0" applyFont="1" applyFill="1" applyBorder="1" applyAlignment="1">
      <alignment horizontal="center" vertical="center"/>
    </xf>
    <xf numFmtId="0" fontId="2" fillId="2" borderId="3" xfId="0" applyFont="1" applyBorder="1" applyAlignment="1">
      <alignment horizontal="center" vertical="center"/>
    </xf>
    <xf numFmtId="0" fontId="2" fillId="6" borderId="19" xfId="0" applyFont="1" applyFill="1" applyBorder="1"/>
    <xf numFmtId="0" fontId="2" fillId="2" borderId="2" xfId="0" applyFont="1" applyBorder="1" applyAlignment="1">
      <alignment horizontal="center"/>
    </xf>
    <xf numFmtId="167" fontId="2" fillId="2" borderId="8" xfId="0" applyNumberFormat="1" applyFont="1" applyBorder="1"/>
    <xf numFmtId="0" fontId="4" fillId="4" borderId="3" xfId="0" applyFont="1" applyFill="1" applyBorder="1" applyAlignment="1">
      <alignment horizontal="center"/>
    </xf>
    <xf numFmtId="0" fontId="2" fillId="2" borderId="8" xfId="0" applyFont="1" applyBorder="1" applyAlignment="1">
      <alignment horizontal="center"/>
    </xf>
    <xf numFmtId="0" fontId="2" fillId="2" borderId="9" xfId="0" applyFont="1" applyBorder="1" applyAlignment="1">
      <alignment horizontal="center"/>
    </xf>
    <xf numFmtId="9" fontId="2" fillId="2" borderId="10" xfId="2" applyFont="1" applyFill="1" applyBorder="1" applyAlignment="1">
      <alignment horizontal="center"/>
    </xf>
    <xf numFmtId="0" fontId="4" fillId="4" borderId="6" xfId="0" applyFont="1" applyFill="1" applyBorder="1" applyAlignment="1">
      <alignment horizontal="center"/>
    </xf>
    <xf numFmtId="0" fontId="4" fillId="3" borderId="3" xfId="0" applyFont="1" applyFill="1" applyBorder="1" applyAlignment="1">
      <alignment horizontal="center"/>
    </xf>
    <xf numFmtId="0" fontId="5" fillId="2" borderId="0" xfId="0" applyFont="1" applyAlignment="1">
      <alignment horizontal="center"/>
    </xf>
    <xf numFmtId="0" fontId="5" fillId="2" borderId="4" xfId="0" applyFont="1" applyBorder="1" applyAlignment="1">
      <alignment horizontal="center"/>
    </xf>
    <xf numFmtId="167" fontId="2" fillId="2" borderId="8" xfId="0" applyNumberFormat="1" applyFont="1" applyBorder="1" applyAlignment="1">
      <alignment horizontal="center"/>
    </xf>
    <xf numFmtId="167" fontId="5" fillId="2" borderId="9" xfId="0" applyNumberFormat="1" applyFont="1" applyBorder="1"/>
    <xf numFmtId="167" fontId="5" fillId="2" borderId="10" xfId="0" applyNumberFormat="1" applyFont="1" applyBorder="1"/>
    <xf numFmtId="0" fontId="4" fillId="2" borderId="4" xfId="0" applyFont="1" applyBorder="1"/>
    <xf numFmtId="0" fontId="4" fillId="3" borderId="6" xfId="0" applyFont="1" applyFill="1" applyBorder="1" applyAlignment="1">
      <alignment horizontal="center"/>
    </xf>
    <xf numFmtId="1" fontId="2" fillId="2" borderId="9" xfId="0" applyNumberFormat="1" applyFont="1" applyBorder="1" applyAlignment="1">
      <alignment horizontal="center" vertical="center"/>
    </xf>
    <xf numFmtId="0" fontId="4" fillId="6" borderId="2" xfId="1" applyFont="1" applyFill="1" applyBorder="1"/>
    <xf numFmtId="0" fontId="2" fillId="6" borderId="2" xfId="0" applyFont="1" applyFill="1" applyBorder="1"/>
    <xf numFmtId="0" fontId="4" fillId="6" borderId="3" xfId="0" applyFont="1" applyFill="1" applyBorder="1" applyProtection="1">
      <protection locked="0"/>
    </xf>
    <xf numFmtId="0" fontId="2" fillId="6" borderId="8" xfId="0" applyFont="1" applyFill="1" applyBorder="1"/>
    <xf numFmtId="0" fontId="4" fillId="6" borderId="6" xfId="0" applyFont="1" applyFill="1" applyBorder="1"/>
    <xf numFmtId="0" fontId="2" fillId="6" borderId="9" xfId="0" applyFont="1" applyFill="1" applyBorder="1"/>
    <xf numFmtId="3" fontId="2" fillId="2" borderId="9" xfId="0" applyNumberFormat="1" applyFont="1" applyBorder="1"/>
    <xf numFmtId="3" fontId="2" fillId="6" borderId="0" xfId="0" applyNumberFormat="1" applyFont="1" applyFill="1"/>
    <xf numFmtId="3" fontId="2" fillId="6" borderId="9" xfId="0" applyNumberFormat="1" applyFont="1" applyFill="1" applyBorder="1"/>
    <xf numFmtId="0" fontId="35" fillId="2" borderId="0" xfId="0" applyFont="1"/>
    <xf numFmtId="0" fontId="4" fillId="3" borderId="10" xfId="0" applyFont="1" applyFill="1" applyBorder="1" applyProtection="1">
      <protection locked="0"/>
    </xf>
    <xf numFmtId="167" fontId="4" fillId="3" borderId="0" xfId="5" applyNumberFormat="1" applyFont="1" applyFill="1" applyBorder="1"/>
    <xf numFmtId="164" fontId="4" fillId="3" borderId="0" xfId="5" applyNumberFormat="1" applyFont="1" applyFill="1" applyBorder="1"/>
    <xf numFmtId="164" fontId="4" fillId="3" borderId="9" xfId="5" applyNumberFormat="1" applyFont="1" applyFill="1" applyBorder="1"/>
    <xf numFmtId="167" fontId="2" fillId="2" borderId="0" xfId="5" applyNumberFormat="1" applyFont="1" applyFill="1" applyBorder="1"/>
    <xf numFmtId="164" fontId="2" fillId="11" borderId="0" xfId="5" applyNumberFormat="1" applyFont="1" applyFill="1" applyBorder="1"/>
    <xf numFmtId="164" fontId="2" fillId="11" borderId="9" xfId="5" applyNumberFormat="1" applyFont="1" applyFill="1" applyBorder="1"/>
    <xf numFmtId="164" fontId="2" fillId="2" borderId="0" xfId="5" applyNumberFormat="1" applyFont="1" applyFill="1" applyBorder="1"/>
    <xf numFmtId="167" fontId="2" fillId="2" borderId="9" xfId="5" applyNumberFormat="1" applyFont="1" applyFill="1" applyBorder="1"/>
    <xf numFmtId="164" fontId="2" fillId="2" borderId="9" xfId="5" applyNumberFormat="1" applyFont="1" applyFill="1" applyBorder="1"/>
    <xf numFmtId="167" fontId="4" fillId="3" borderId="9" xfId="5" applyNumberFormat="1" applyFont="1" applyFill="1" applyBorder="1"/>
    <xf numFmtId="167" fontId="4" fillId="3" borderId="6" xfId="5" applyNumberFormat="1" applyFont="1" applyFill="1" applyBorder="1"/>
    <xf numFmtId="164" fontId="2" fillId="3" borderId="0" xfId="5" applyNumberFormat="1" applyFont="1" applyFill="1" applyBorder="1"/>
    <xf numFmtId="164" fontId="2" fillId="3" borderId="9" xfId="5" applyNumberFormat="1" applyFont="1" applyFill="1" applyBorder="1"/>
    <xf numFmtId="164" fontId="2" fillId="2" borderId="10" xfId="5" applyNumberFormat="1" applyFont="1" applyFill="1" applyBorder="1"/>
    <xf numFmtId="0" fontId="4" fillId="3" borderId="2" xfId="0" applyFont="1" applyFill="1" applyBorder="1" applyProtection="1">
      <protection locked="0"/>
    </xf>
    <xf numFmtId="0" fontId="2" fillId="3" borderId="2" xfId="0" applyFont="1" applyFill="1" applyBorder="1" applyProtection="1">
      <protection locked="0"/>
    </xf>
    <xf numFmtId="164" fontId="2" fillId="3" borderId="2" xfId="5" applyNumberFormat="1" applyFont="1" applyFill="1" applyBorder="1"/>
    <xf numFmtId="164" fontId="2" fillId="3" borderId="8" xfId="5" applyNumberFormat="1" applyFont="1" applyFill="1" applyBorder="1"/>
    <xf numFmtId="0" fontId="4" fillId="4" borderId="2" xfId="0" applyFont="1" applyFill="1" applyBorder="1" applyProtection="1">
      <protection locked="0"/>
    </xf>
    <xf numFmtId="0" fontId="2" fillId="4" borderId="2" xfId="0" applyFont="1" applyFill="1" applyBorder="1" applyProtection="1">
      <protection locked="0"/>
    </xf>
    <xf numFmtId="0" fontId="2" fillId="4" borderId="2" xfId="0" applyFont="1" applyFill="1" applyBorder="1"/>
    <xf numFmtId="0" fontId="2" fillId="4" borderId="0" xfId="0" applyFont="1" applyFill="1" applyProtection="1">
      <protection locked="0"/>
    </xf>
    <xf numFmtId="0" fontId="9" fillId="4" borderId="0" xfId="0" applyFont="1" applyFill="1" applyAlignment="1" applyProtection="1">
      <alignment horizontal="center"/>
      <protection locked="0"/>
    </xf>
    <xf numFmtId="0" fontId="4" fillId="4" borderId="0" xfId="0" applyFont="1" applyFill="1" applyAlignment="1" applyProtection="1">
      <alignment horizontal="center"/>
      <protection locked="0"/>
    </xf>
    <xf numFmtId="0" fontId="10" fillId="4" borderId="4" xfId="0" applyFont="1" applyFill="1" applyBorder="1" applyProtection="1">
      <protection locked="0"/>
    </xf>
    <xf numFmtId="0" fontId="8" fillId="2" borderId="4" xfId="0" applyFont="1" applyBorder="1" applyProtection="1">
      <protection locked="0"/>
    </xf>
    <xf numFmtId="0" fontId="2" fillId="2" borderId="4" xfId="0" applyFont="1" applyBorder="1" applyAlignment="1" applyProtection="1">
      <alignment horizontal="left"/>
      <protection locked="0"/>
    </xf>
    <xf numFmtId="3" fontId="2" fillId="2" borderId="4" xfId="0" applyNumberFormat="1" applyFont="1" applyBorder="1" applyProtection="1">
      <protection locked="0"/>
    </xf>
    <xf numFmtId="0" fontId="2" fillId="2" borderId="4" xfId="0" applyFont="1" applyBorder="1" applyAlignment="1" applyProtection="1">
      <alignment horizontal="center"/>
      <protection locked="0"/>
    </xf>
    <xf numFmtId="0" fontId="2" fillId="4" borderId="9" xfId="0" applyFont="1" applyFill="1" applyBorder="1"/>
    <xf numFmtId="0" fontId="2" fillId="2" borderId="2" xfId="0" applyFont="1" applyBorder="1"/>
    <xf numFmtId="0" fontId="2" fillId="2" borderId="8" xfId="0" applyFont="1" applyBorder="1"/>
    <xf numFmtId="3" fontId="2" fillId="2" borderId="8" xfId="0" applyNumberFormat="1" applyFont="1" applyBorder="1" applyAlignment="1">
      <alignment horizontal="center"/>
    </xf>
    <xf numFmtId="3" fontId="2" fillId="2" borderId="18" xfId="0" applyNumberFormat="1" applyFont="1" applyBorder="1" applyAlignment="1">
      <alignment horizontal="center"/>
    </xf>
    <xf numFmtId="3" fontId="2" fillId="2" borderId="20" xfId="0" applyNumberFormat="1" applyFont="1" applyBorder="1" applyAlignment="1">
      <alignment horizontal="center"/>
    </xf>
    <xf numFmtId="3" fontId="2" fillId="2" borderId="14" xfId="0" applyNumberFormat="1" applyFont="1" applyBorder="1" applyAlignment="1">
      <alignment horizontal="center"/>
    </xf>
    <xf numFmtId="3" fontId="2" fillId="2" borderId="9" xfId="0" applyNumberFormat="1" applyFont="1" applyBorder="1" applyAlignment="1">
      <alignment horizontal="center"/>
    </xf>
    <xf numFmtId="3" fontId="2" fillId="2" borderId="10" xfId="0" applyNumberFormat="1" applyFont="1" applyBorder="1" applyAlignment="1">
      <alignment horizontal="center"/>
    </xf>
    <xf numFmtId="4" fontId="2" fillId="9" borderId="1" xfId="0" applyNumberFormat="1" applyFont="1" applyFill="1" applyBorder="1" applyAlignment="1">
      <alignment horizontal="center" vertical="center" wrapText="1"/>
    </xf>
    <xf numFmtId="4" fontId="2" fillId="2" borderId="1" xfId="0" applyNumberFormat="1" applyFont="1" applyBorder="1" applyAlignment="1">
      <alignment horizontal="center" vertical="center" wrapText="1"/>
    </xf>
    <xf numFmtId="3" fontId="0" fillId="12" borderId="16" xfId="0" applyNumberFormat="1" applyFill="1" applyBorder="1"/>
    <xf numFmtId="3" fontId="0" fillId="2" borderId="16" xfId="0" applyNumberFormat="1" applyBorder="1"/>
    <xf numFmtId="0" fontId="0" fillId="12" borderId="15" xfId="0" applyFill="1" applyBorder="1"/>
    <xf numFmtId="0" fontId="0" fillId="2" borderId="15" xfId="0" applyBorder="1"/>
    <xf numFmtId="3" fontId="2" fillId="2" borderId="6" xfId="0" applyNumberFormat="1" applyFont="1" applyBorder="1" applyAlignment="1">
      <alignment horizontal="center"/>
    </xf>
    <xf numFmtId="170" fontId="2" fillId="2" borderId="8" xfId="0" applyNumberFormat="1" applyFont="1" applyBorder="1" applyAlignment="1">
      <alignment horizontal="center" vertical="center"/>
    </xf>
    <xf numFmtId="3" fontId="4" fillId="2" borderId="0" xfId="0" applyNumberFormat="1" applyFont="1"/>
    <xf numFmtId="0" fontId="2" fillId="2" borderId="0" xfId="0" applyFont="1" applyAlignment="1">
      <alignment horizontal="left" vertical="center" wrapText="1"/>
    </xf>
    <xf numFmtId="0" fontId="2" fillId="2" borderId="0" xfId="0" applyFont="1" applyAlignment="1">
      <alignment horizontal="left" vertical="center" wrapText="1"/>
    </xf>
    <xf numFmtId="0" fontId="2" fillId="2" borderId="0" xfId="0" applyFont="1" applyBorder="1" applyAlignment="1">
      <alignment horizontal="left" vertical="center" wrapText="1"/>
    </xf>
    <xf numFmtId="0" fontId="2" fillId="2" borderId="0" xfId="0" applyFont="1" applyBorder="1"/>
    <xf numFmtId="0" fontId="2" fillId="14" borderId="0" xfId="0" applyFont="1" applyFill="1" applyBorder="1"/>
    <xf numFmtId="0" fontId="2" fillId="13" borderId="31" xfId="0" applyFont="1" applyFill="1" applyBorder="1"/>
    <xf numFmtId="0" fontId="2" fillId="13" borderId="32" xfId="0" applyFont="1" applyFill="1" applyBorder="1"/>
    <xf numFmtId="0" fontId="2" fillId="14" borderId="33" xfId="0" applyFont="1" applyFill="1" applyBorder="1"/>
    <xf numFmtId="0" fontId="2" fillId="14" borderId="34" xfId="0" applyFont="1" applyFill="1" applyBorder="1"/>
    <xf numFmtId="0" fontId="4" fillId="14" borderId="35" xfId="0" applyFont="1" applyFill="1" applyBorder="1" applyAlignment="1">
      <alignment horizontal="left" vertical="center" wrapText="1"/>
    </xf>
    <xf numFmtId="0" fontId="2" fillId="14" borderId="34" xfId="0" applyFont="1" applyFill="1" applyBorder="1" applyAlignment="1">
      <alignment horizontal="left" vertical="center" wrapText="1"/>
    </xf>
    <xf numFmtId="0" fontId="4" fillId="14" borderId="36" xfId="0" applyFont="1" applyFill="1" applyBorder="1" applyAlignment="1">
      <alignment horizontal="left" vertical="center" wrapText="1"/>
    </xf>
    <xf numFmtId="0" fontId="2" fillId="14" borderId="37" xfId="0" applyFont="1" applyFill="1" applyBorder="1" applyAlignment="1">
      <alignment horizontal="left" vertical="center" wrapText="1"/>
    </xf>
    <xf numFmtId="0" fontId="2" fillId="14" borderId="38" xfId="0" applyFont="1" applyFill="1" applyBorder="1" applyAlignment="1">
      <alignment horizontal="left" vertical="center" wrapText="1"/>
    </xf>
    <xf numFmtId="0" fontId="2" fillId="14" borderId="39" xfId="0" applyFont="1" applyFill="1" applyBorder="1" applyAlignment="1">
      <alignment horizontal="left" vertical="center" wrapText="1"/>
    </xf>
    <xf numFmtId="0" fontId="4" fillId="14" borderId="3" xfId="0" applyFont="1" applyFill="1" applyBorder="1" applyAlignment="1">
      <alignment horizontal="center" vertical="center" wrapText="1"/>
    </xf>
    <xf numFmtId="168" fontId="2" fillId="14" borderId="0" xfId="0" quotePrefix="1" applyNumberFormat="1" applyFont="1" applyFill="1" applyBorder="1" applyAlignment="1">
      <alignment horizontal="left" vertical="center" wrapText="1"/>
    </xf>
    <xf numFmtId="3" fontId="2" fillId="9" borderId="0" xfId="0" quotePrefix="1" applyNumberFormat="1" applyFont="1" applyFill="1" applyBorder="1" applyAlignment="1">
      <alignment horizontal="center" vertical="center" wrapText="1"/>
    </xf>
    <xf numFmtId="3" fontId="2" fillId="14" borderId="0" xfId="0" quotePrefix="1" applyNumberFormat="1" applyFont="1" applyFill="1" applyBorder="1" applyAlignment="1">
      <alignment horizontal="center" vertical="center" wrapText="1"/>
    </xf>
    <xf numFmtId="0" fontId="4" fillId="14" borderId="0" xfId="0" applyFont="1" applyFill="1" applyBorder="1" applyAlignment="1">
      <alignment horizontal="center" vertical="center" wrapText="1"/>
    </xf>
    <xf numFmtId="3" fontId="2" fillId="14" borderId="0" xfId="0" applyNumberFormat="1" applyFont="1" applyFill="1" applyBorder="1" applyAlignment="1">
      <alignment horizontal="left"/>
    </xf>
    <xf numFmtId="3" fontId="2" fillId="14" borderId="0" xfId="0" applyNumberFormat="1" applyFont="1" applyFill="1" applyBorder="1" applyAlignment="1">
      <alignment horizontal="center"/>
    </xf>
    <xf numFmtId="0" fontId="4" fillId="14" borderId="43" xfId="0" applyFont="1" applyFill="1" applyBorder="1" applyAlignment="1">
      <alignment horizontal="center" vertical="center" wrapText="1"/>
    </xf>
    <xf numFmtId="0" fontId="4" fillId="14" borderId="34" xfId="0" applyFont="1" applyFill="1" applyBorder="1" applyAlignment="1">
      <alignment horizontal="center" vertical="center" wrapText="1"/>
    </xf>
    <xf numFmtId="0" fontId="2" fillId="14" borderId="37" xfId="0" applyFont="1" applyFill="1" applyBorder="1" applyAlignment="1">
      <alignment horizontal="left"/>
    </xf>
    <xf numFmtId="0" fontId="2" fillId="14" borderId="37" xfId="0" applyFont="1" applyFill="1" applyBorder="1"/>
    <xf numFmtId="0" fontId="2" fillId="14" borderId="39" xfId="0" applyFont="1" applyFill="1" applyBorder="1"/>
    <xf numFmtId="0" fontId="2" fillId="14" borderId="0" xfId="0" applyFont="1" applyFill="1" applyBorder="1" applyAlignment="1">
      <alignment horizontal="center"/>
    </xf>
    <xf numFmtId="0" fontId="2" fillId="9" borderId="0" xfId="0" applyFont="1" applyFill="1" applyBorder="1" applyAlignment="1">
      <alignment horizontal="center"/>
    </xf>
    <xf numFmtId="0" fontId="2" fillId="14" borderId="37" xfId="0" applyFont="1" applyFill="1" applyBorder="1" applyAlignment="1">
      <alignment horizontal="center"/>
    </xf>
    <xf numFmtId="9" fontId="2" fillId="14" borderId="25" xfId="2" applyFont="1" applyFill="1" applyBorder="1" applyAlignment="1">
      <alignment horizontal="left" vertical="center" wrapText="1"/>
    </xf>
    <xf numFmtId="0" fontId="4" fillId="4" borderId="49" xfId="0" applyFont="1" applyFill="1" applyBorder="1" applyAlignment="1">
      <alignment horizontal="left" vertical="center" wrapText="1"/>
    </xf>
    <xf numFmtId="0" fontId="2" fillId="4" borderId="33" xfId="0" applyFont="1" applyFill="1" applyBorder="1" applyAlignment="1">
      <alignment horizontal="right"/>
    </xf>
    <xf numFmtId="0" fontId="4" fillId="4" borderId="33" xfId="0" applyFont="1" applyFill="1" applyBorder="1"/>
    <xf numFmtId="0" fontId="2" fillId="4" borderId="51" xfId="0" applyFont="1" applyFill="1" applyBorder="1" applyAlignment="1">
      <alignment horizontal="right"/>
    </xf>
    <xf numFmtId="0" fontId="2" fillId="3" borderId="49" xfId="0" applyFont="1" applyFill="1" applyBorder="1" applyAlignment="1">
      <alignment horizontal="left"/>
    </xf>
    <xf numFmtId="0" fontId="2" fillId="3" borderId="33" xfId="0" applyFont="1" applyFill="1" applyBorder="1" applyAlignment="1">
      <alignment horizontal="left"/>
    </xf>
    <xf numFmtId="0" fontId="2" fillId="3" borderId="33" xfId="0" applyFont="1" applyFill="1" applyBorder="1" applyAlignment="1">
      <alignment horizontal="center"/>
    </xf>
    <xf numFmtId="0" fontId="2" fillId="3" borderId="51" xfId="0" applyFont="1" applyFill="1" applyBorder="1" applyAlignment="1">
      <alignment horizontal="center"/>
    </xf>
    <xf numFmtId="0" fontId="2" fillId="6" borderId="49" xfId="0" applyFont="1" applyFill="1" applyBorder="1"/>
    <xf numFmtId="0" fontId="2" fillId="6" borderId="33" xfId="0" applyFont="1" applyFill="1" applyBorder="1"/>
    <xf numFmtId="0" fontId="2" fillId="6" borderId="51" xfId="0" applyFont="1" applyFill="1" applyBorder="1"/>
    <xf numFmtId="0" fontId="4" fillId="14" borderId="24" xfId="0" applyFont="1" applyFill="1" applyBorder="1" applyAlignment="1">
      <alignment horizontal="center" vertical="center" wrapText="1"/>
    </xf>
    <xf numFmtId="0" fontId="4" fillId="14" borderId="50" xfId="0" applyFont="1" applyFill="1" applyBorder="1" applyAlignment="1">
      <alignment horizontal="center" vertical="center" wrapText="1"/>
    </xf>
    <xf numFmtId="0" fontId="4" fillId="14" borderId="25" xfId="0" applyFont="1" applyFill="1" applyBorder="1" applyAlignment="1">
      <alignment horizontal="center" vertical="center" wrapText="1"/>
    </xf>
    <xf numFmtId="0" fontId="4" fillId="14" borderId="52" xfId="0" applyFont="1" applyFill="1" applyBorder="1" applyAlignment="1">
      <alignment horizontal="center" vertical="center" wrapText="1"/>
    </xf>
    <xf numFmtId="0" fontId="2" fillId="14" borderId="24" xfId="0" applyFont="1" applyFill="1" applyBorder="1"/>
    <xf numFmtId="167" fontId="2" fillId="14" borderId="24" xfId="0" applyNumberFormat="1" applyFont="1" applyFill="1" applyBorder="1"/>
    <xf numFmtId="0" fontId="2" fillId="14" borderId="50" xfId="0" applyFont="1" applyFill="1" applyBorder="1"/>
    <xf numFmtId="167" fontId="2" fillId="14" borderId="0" xfId="0" applyNumberFormat="1" applyFont="1" applyFill="1" applyBorder="1"/>
    <xf numFmtId="9" fontId="2" fillId="14" borderId="0" xfId="2" applyFont="1" applyFill="1" applyBorder="1"/>
    <xf numFmtId="167" fontId="2" fillId="14" borderId="0" xfId="0" applyNumberFormat="1" applyFont="1" applyFill="1" applyBorder="1" applyAlignment="1">
      <alignment horizontal="left"/>
    </xf>
    <xf numFmtId="167" fontId="5" fillId="14" borderId="0" xfId="0" applyNumberFormat="1" applyFont="1" applyFill="1" applyBorder="1" applyAlignment="1">
      <alignment horizontal="left"/>
    </xf>
    <xf numFmtId="0" fontId="2" fillId="14" borderId="25" xfId="0" applyFont="1" applyFill="1" applyBorder="1"/>
    <xf numFmtId="167" fontId="5" fillId="14" borderId="25" xfId="0" applyNumberFormat="1" applyFont="1" applyFill="1" applyBorder="1" applyAlignment="1">
      <alignment horizontal="left"/>
    </xf>
    <xf numFmtId="0" fontId="2" fillId="14" borderId="52" xfId="0" applyFont="1" applyFill="1" applyBorder="1"/>
    <xf numFmtId="165" fontId="2" fillId="14" borderId="0" xfId="0" applyNumberFormat="1" applyFont="1" applyFill="1" applyBorder="1" applyAlignment="1">
      <alignment horizontal="right"/>
    </xf>
    <xf numFmtId="3" fontId="2" fillId="14" borderId="24" xfId="0" applyNumberFormat="1" applyFont="1" applyFill="1" applyBorder="1" applyAlignment="1">
      <alignment horizontal="right"/>
    </xf>
    <xf numFmtId="3" fontId="2" fillId="14" borderId="0" xfId="0" applyNumberFormat="1" applyFont="1" applyFill="1" applyBorder="1" applyAlignment="1">
      <alignment horizontal="right"/>
    </xf>
    <xf numFmtId="3" fontId="2" fillId="14" borderId="25" xfId="0" applyNumberFormat="1" applyFont="1" applyFill="1" applyBorder="1" applyAlignment="1">
      <alignment horizontal="right"/>
    </xf>
    <xf numFmtId="3" fontId="2" fillId="14" borderId="37" xfId="0" applyNumberFormat="1" applyFont="1" applyFill="1" applyBorder="1" applyAlignment="1">
      <alignment horizontal="right"/>
    </xf>
    <xf numFmtId="9" fontId="2" fillId="14" borderId="0" xfId="2" applyFont="1" applyFill="1" applyBorder="1" applyAlignment="1">
      <alignment horizontal="right" vertical="center" wrapText="1"/>
    </xf>
    <xf numFmtId="9" fontId="2" fillId="14" borderId="25" xfId="2" applyFont="1" applyFill="1" applyBorder="1" applyAlignment="1">
      <alignment horizontal="right" vertical="center" wrapText="1"/>
    </xf>
    <xf numFmtId="0" fontId="2" fillId="14" borderId="24" xfId="0" applyFont="1" applyFill="1" applyBorder="1" applyAlignment="1">
      <alignment horizontal="right" vertical="center" wrapText="1"/>
    </xf>
    <xf numFmtId="3" fontId="2" fillId="14" borderId="0" xfId="0" applyNumberFormat="1" applyFont="1" applyFill="1" applyBorder="1" applyAlignment="1">
      <alignment horizontal="right" vertical="center" wrapText="1"/>
    </xf>
    <xf numFmtId="0" fontId="2" fillId="14" borderId="0" xfId="0" applyFont="1" applyFill="1" applyBorder="1" applyAlignment="1">
      <alignment horizontal="right" vertical="center" wrapText="1"/>
    </xf>
    <xf numFmtId="0" fontId="39" fillId="13" borderId="22" xfId="7" applyFont="1" applyFill="1" applyBorder="1"/>
    <xf numFmtId="0" fontId="39" fillId="13" borderId="23" xfId="7" applyFont="1" applyFill="1" applyBorder="1"/>
    <xf numFmtId="0" fontId="2" fillId="14" borderId="40" xfId="7" applyFont="1" applyFill="1" applyBorder="1"/>
    <xf numFmtId="0" fontId="2" fillId="14" borderId="0" xfId="7" applyFont="1" applyFill="1"/>
    <xf numFmtId="0" fontId="2" fillId="14" borderId="0" xfId="7" applyFont="1" applyFill="1" applyAlignment="1">
      <alignment horizontal="right"/>
    </xf>
    <xf numFmtId="0" fontId="4" fillId="14" borderId="0" xfId="7" applyFont="1" applyFill="1"/>
    <xf numFmtId="0" fontId="2" fillId="14" borderId="53" xfId="7" applyFont="1" applyFill="1" applyBorder="1"/>
    <xf numFmtId="0" fontId="2" fillId="14" borderId="53" xfId="7" applyFont="1" applyFill="1" applyBorder="1" applyAlignment="1">
      <alignment vertical="center" wrapText="1"/>
    </xf>
    <xf numFmtId="0" fontId="2" fillId="14" borderId="54" xfId="7" applyFont="1" applyFill="1" applyBorder="1"/>
    <xf numFmtId="0" fontId="2" fillId="14" borderId="55" xfId="7" applyFont="1" applyFill="1" applyBorder="1"/>
    <xf numFmtId="0" fontId="2" fillId="14" borderId="56" xfId="7" applyFont="1" applyFill="1" applyBorder="1"/>
    <xf numFmtId="0" fontId="2" fillId="13" borderId="22" xfId="7" applyFont="1" applyFill="1" applyBorder="1"/>
    <xf numFmtId="0" fontId="2" fillId="13" borderId="23" xfId="7" applyFont="1" applyFill="1" applyBorder="1"/>
    <xf numFmtId="0" fontId="38" fillId="13" borderId="21" xfId="7" applyFont="1" applyFill="1" applyBorder="1" applyAlignment="1">
      <alignment horizontal="left"/>
    </xf>
    <xf numFmtId="0" fontId="38" fillId="13" borderId="22" xfId="7" applyFont="1" applyFill="1" applyBorder="1" applyAlignment="1">
      <alignment horizontal="left"/>
    </xf>
    <xf numFmtId="0" fontId="39" fillId="13" borderId="22" xfId="7" applyFont="1" applyFill="1" applyBorder="1" applyAlignment="1">
      <alignment horizontal="left"/>
    </xf>
    <xf numFmtId="9" fontId="2" fillId="14" borderId="0" xfId="7" applyNumberFormat="1" applyFont="1" applyFill="1"/>
    <xf numFmtId="0" fontId="2" fillId="13" borderId="31" xfId="7" applyFont="1" applyFill="1" applyBorder="1"/>
    <xf numFmtId="0" fontId="2" fillId="13" borderId="32" xfId="7" applyFont="1" applyFill="1" applyBorder="1"/>
    <xf numFmtId="0" fontId="2" fillId="14" borderId="36" xfId="0" applyFont="1" applyFill="1" applyBorder="1"/>
    <xf numFmtId="0" fontId="2" fillId="2" borderId="0" xfId="0" applyFont="1" applyFill="1" applyBorder="1"/>
    <xf numFmtId="0" fontId="2" fillId="2" borderId="0" xfId="7" applyFont="1" applyFill="1"/>
    <xf numFmtId="4" fontId="2" fillId="14" borderId="0" xfId="7" applyNumberFormat="1" applyFont="1" applyFill="1"/>
    <xf numFmtId="2" fontId="2" fillId="14" borderId="0" xfId="7" applyNumberFormat="1" applyFont="1" applyFill="1"/>
    <xf numFmtId="4" fontId="2" fillId="14" borderId="55" xfId="7" applyNumberFormat="1" applyFont="1" applyFill="1" applyBorder="1"/>
    <xf numFmtId="0" fontId="2" fillId="4" borderId="8" xfId="0" applyFont="1" applyFill="1" applyBorder="1"/>
    <xf numFmtId="0" fontId="4" fillId="4" borderId="4" xfId="0" applyFont="1" applyFill="1" applyBorder="1" applyProtection="1">
      <protection locked="0"/>
    </xf>
    <xf numFmtId="0" fontId="2" fillId="4" borderId="10" xfId="0" applyFont="1" applyFill="1" applyBorder="1"/>
    <xf numFmtId="0" fontId="5" fillId="2" borderId="0" xfId="0" applyFont="1" applyProtection="1">
      <protection locked="0"/>
    </xf>
    <xf numFmtId="0" fontId="2" fillId="2" borderId="0" xfId="0" applyFont="1" applyProtection="1">
      <protection locked="0"/>
    </xf>
    <xf numFmtId="0" fontId="9" fillId="2" borderId="4" xfId="0" applyFont="1" applyBorder="1" applyProtection="1">
      <protection locked="0"/>
    </xf>
    <xf numFmtId="9" fontId="2" fillId="2" borderId="8" xfId="2" applyFont="1" applyFill="1" applyBorder="1" applyAlignment="1">
      <alignment horizontal="center" vertical="center"/>
    </xf>
    <xf numFmtId="9" fontId="2" fillId="2" borderId="9" xfId="2" applyFont="1" applyFill="1" applyBorder="1" applyAlignment="1">
      <alignment horizontal="center" vertical="center"/>
    </xf>
    <xf numFmtId="9" fontId="2" fillId="2" borderId="10" xfId="2" applyFont="1" applyFill="1" applyBorder="1" applyAlignment="1">
      <alignment horizontal="center" vertical="center"/>
    </xf>
    <xf numFmtId="0" fontId="2" fillId="3" borderId="0" xfId="0" applyFont="1" applyFill="1" applyProtection="1">
      <protection locked="0"/>
    </xf>
    <xf numFmtId="164" fontId="4" fillId="3" borderId="6" xfId="5" applyNumberFormat="1" applyFont="1" applyFill="1" applyBorder="1"/>
    <xf numFmtId="173" fontId="2" fillId="2" borderId="8" xfId="0" applyNumberFormat="1" applyFont="1" applyBorder="1"/>
    <xf numFmtId="173" fontId="2" fillId="2" borderId="9" xfId="0" applyNumberFormat="1" applyFont="1" applyBorder="1"/>
    <xf numFmtId="173" fontId="5" fillId="2" borderId="9" xfId="0" applyNumberFormat="1" applyFont="1" applyBorder="1"/>
    <xf numFmtId="173" fontId="5" fillId="2" borderId="10" xfId="0" applyNumberFormat="1" applyFont="1" applyBorder="1"/>
    <xf numFmtId="0" fontId="4" fillId="6" borderId="0" xfId="0" applyFont="1" applyFill="1" applyProtection="1">
      <protection locked="0"/>
    </xf>
    <xf numFmtId="0" fontId="4" fillId="6" borderId="2" xfId="0" applyFont="1" applyFill="1" applyBorder="1"/>
    <xf numFmtId="0" fontId="4" fillId="6" borderId="6" xfId="1" applyFont="1" applyFill="1" applyBorder="1" applyAlignment="1">
      <alignment horizontal="center" vertical="center"/>
    </xf>
    <xf numFmtId="0" fontId="2" fillId="6" borderId="11" xfId="0" applyFont="1" applyFill="1" applyBorder="1"/>
    <xf numFmtId="3" fontId="2" fillId="2" borderId="8" xfId="0" applyNumberFormat="1" applyFont="1" applyBorder="1" applyAlignment="1">
      <alignment horizontal="center" vertical="center"/>
    </xf>
    <xf numFmtId="3" fontId="2" fillId="2" borderId="10" xfId="0" applyNumberFormat="1" applyFont="1" applyBorder="1" applyAlignment="1">
      <alignment horizontal="center" vertical="center"/>
    </xf>
    <xf numFmtId="0" fontId="2" fillId="2" borderId="2" xfId="0" applyFont="1" applyBorder="1" applyAlignment="1">
      <alignment horizontal="center" vertical="center"/>
    </xf>
    <xf numFmtId="0" fontId="4" fillId="7" borderId="6" xfId="0" applyFont="1" applyFill="1" applyBorder="1" applyAlignment="1">
      <alignment horizontal="center" vertical="center"/>
    </xf>
    <xf numFmtId="173" fontId="2" fillId="2" borderId="8" xfId="0" applyNumberFormat="1" applyFont="1" applyBorder="1" applyAlignment="1">
      <alignment horizontal="center" vertical="center"/>
    </xf>
    <xf numFmtId="3" fontId="2" fillId="2" borderId="6" xfId="0" applyNumberFormat="1" applyFont="1" applyBorder="1" applyAlignment="1">
      <alignment horizontal="center" vertical="center"/>
    </xf>
    <xf numFmtId="164" fontId="2" fillId="2" borderId="46" xfId="5" applyNumberFormat="1" applyFont="1" applyFill="1" applyBorder="1"/>
    <xf numFmtId="0" fontId="2" fillId="7" borderId="41" xfId="0" applyFont="1" applyFill="1" applyBorder="1"/>
    <xf numFmtId="0" fontId="2" fillId="7" borderId="54" xfId="0" applyFont="1" applyFill="1" applyBorder="1"/>
    <xf numFmtId="0" fontId="2" fillId="14" borderId="0" xfId="7" applyFont="1" applyFill="1" applyAlignment="1">
      <alignment vertical="top"/>
    </xf>
    <xf numFmtId="0" fontId="2" fillId="14" borderId="0" xfId="7" applyFont="1" applyFill="1" applyAlignment="1">
      <alignment vertical="center" wrapText="1"/>
    </xf>
    <xf numFmtId="170" fontId="2" fillId="14" borderId="0" xfId="7" applyNumberFormat="1" applyFont="1" applyFill="1"/>
    <xf numFmtId="0" fontId="4" fillId="4" borderId="57" xfId="7" applyFont="1" applyFill="1" applyBorder="1"/>
    <xf numFmtId="0" fontId="4" fillId="4" borderId="58" xfId="7" applyFont="1" applyFill="1" applyBorder="1"/>
    <xf numFmtId="0" fontId="4" fillId="2" borderId="58" xfId="7" applyFont="1" applyFill="1" applyBorder="1"/>
    <xf numFmtId="0" fontId="2" fillId="4" borderId="60" xfId="7" applyFont="1" applyFill="1" applyBorder="1"/>
    <xf numFmtId="9" fontId="2" fillId="2" borderId="2" xfId="2" applyFont="1" applyFill="1" applyBorder="1" applyAlignment="1">
      <alignment horizontal="right"/>
    </xf>
    <xf numFmtId="0" fontId="2" fillId="4" borderId="26" xfId="7" applyFont="1" applyFill="1" applyBorder="1"/>
    <xf numFmtId="9" fontId="2" fillId="2" borderId="0" xfId="2" applyFont="1" applyFill="1" applyBorder="1" applyAlignment="1">
      <alignment horizontal="right"/>
    </xf>
    <xf numFmtId="0" fontId="2" fillId="4" borderId="29" xfId="7" applyFont="1" applyFill="1" applyBorder="1"/>
    <xf numFmtId="9" fontId="2" fillId="2" borderId="25" xfId="2" applyFont="1" applyFill="1" applyBorder="1" applyAlignment="1">
      <alignment horizontal="right"/>
    </xf>
    <xf numFmtId="0" fontId="4" fillId="3" borderId="57" xfId="7" applyFont="1" applyFill="1" applyBorder="1"/>
    <xf numFmtId="0" fontId="4" fillId="3" borderId="58" xfId="7" applyFont="1" applyFill="1" applyBorder="1"/>
    <xf numFmtId="0" fontId="2" fillId="3" borderId="60" xfId="7" applyFont="1" applyFill="1" applyBorder="1"/>
    <xf numFmtId="4" fontId="2" fillId="2" borderId="2" xfId="7" applyNumberFormat="1" applyFont="1" applyFill="1" applyBorder="1"/>
    <xf numFmtId="4" fontId="2" fillId="2" borderId="61" xfId="7" applyNumberFormat="1" applyFont="1" applyFill="1" applyBorder="1"/>
    <xf numFmtId="0" fontId="2" fillId="3" borderId="26" xfId="7" applyFont="1" applyFill="1" applyBorder="1"/>
    <xf numFmtId="4" fontId="2" fillId="3" borderId="0" xfId="7" applyNumberFormat="1" applyFont="1" applyFill="1" applyBorder="1"/>
    <xf numFmtId="4" fontId="2" fillId="2" borderId="0" xfId="7" applyNumberFormat="1" applyFont="1" applyFill="1" applyBorder="1"/>
    <xf numFmtId="4" fontId="2" fillId="2" borderId="46" xfId="7" applyNumberFormat="1" applyFont="1" applyFill="1" applyBorder="1"/>
    <xf numFmtId="172" fontId="2" fillId="3" borderId="0" xfId="2" applyNumberFormat="1" applyFont="1" applyFill="1" applyBorder="1"/>
    <xf numFmtId="172" fontId="2" fillId="2" borderId="0" xfId="2" applyNumberFormat="1" applyFont="1" applyFill="1" applyBorder="1"/>
    <xf numFmtId="172" fontId="2" fillId="2" borderId="46" xfId="2" applyNumberFormat="1" applyFont="1" applyFill="1" applyBorder="1"/>
    <xf numFmtId="0" fontId="5" fillId="3" borderId="26" xfId="7" applyFont="1" applyFill="1" applyBorder="1" applyAlignment="1">
      <alignment horizontal="center"/>
    </xf>
    <xf numFmtId="0" fontId="2" fillId="3" borderId="29" xfId="7" applyFont="1" applyFill="1" applyBorder="1" applyAlignment="1">
      <alignment horizontal="left"/>
    </xf>
    <xf numFmtId="4" fontId="2" fillId="2" borderId="25" xfId="7" applyNumberFormat="1" applyFont="1" applyFill="1" applyBorder="1"/>
    <xf numFmtId="4" fontId="2" fillId="2" borderId="28" xfId="7" applyNumberFormat="1" applyFont="1" applyFill="1" applyBorder="1"/>
    <xf numFmtId="0" fontId="4" fillId="6" borderId="57" xfId="7" applyFont="1" applyFill="1" applyBorder="1"/>
    <xf numFmtId="0" fontId="4" fillId="6" borderId="58" xfId="7" applyFont="1" applyFill="1" applyBorder="1"/>
    <xf numFmtId="0" fontId="2" fillId="6" borderId="26" xfId="7" applyFont="1" applyFill="1" applyBorder="1"/>
    <xf numFmtId="4" fontId="2" fillId="6" borderId="0" xfId="7" applyNumberFormat="1" applyFont="1" applyFill="1" applyBorder="1"/>
    <xf numFmtId="0" fontId="2" fillId="6" borderId="29" xfId="7" applyFont="1" applyFill="1" applyBorder="1"/>
    <xf numFmtId="4" fontId="2" fillId="6" borderId="25" xfId="7" applyNumberFormat="1" applyFont="1" applyFill="1" applyBorder="1"/>
    <xf numFmtId="0" fontId="4" fillId="7" borderId="57" xfId="7" applyFont="1" applyFill="1" applyBorder="1"/>
    <xf numFmtId="0" fontId="4" fillId="7" borderId="58" xfId="7" applyFont="1" applyFill="1" applyBorder="1"/>
    <xf numFmtId="0" fontId="2" fillId="7" borderId="26" xfId="7" applyFont="1" applyFill="1" applyBorder="1"/>
    <xf numFmtId="4" fontId="2" fillId="7" borderId="0" xfId="7" applyNumberFormat="1" applyFont="1" applyFill="1" applyBorder="1"/>
    <xf numFmtId="0" fontId="2" fillId="7" borderId="29" xfId="7" applyFont="1" applyFill="1" applyBorder="1"/>
    <xf numFmtId="4" fontId="2" fillId="7" borderId="25" xfId="7" applyNumberFormat="1" applyFont="1" applyFill="1" applyBorder="1"/>
    <xf numFmtId="9" fontId="2" fillId="2" borderId="2" xfId="7" applyNumberFormat="1" applyFont="1" applyFill="1" applyBorder="1" applyAlignment="1">
      <alignment horizontal="center"/>
    </xf>
    <xf numFmtId="9" fontId="2" fillId="2" borderId="61" xfId="7" applyNumberFormat="1" applyFont="1" applyFill="1" applyBorder="1" applyAlignment="1">
      <alignment horizontal="center"/>
    </xf>
    <xf numFmtId="9" fontId="2" fillId="2" borderId="0" xfId="7" applyNumberFormat="1" applyFont="1" applyFill="1" applyBorder="1" applyAlignment="1">
      <alignment horizontal="center"/>
    </xf>
    <xf numFmtId="9" fontId="2" fillId="2" borderId="46" xfId="7" applyNumberFormat="1" applyFont="1" applyFill="1" applyBorder="1" applyAlignment="1">
      <alignment horizontal="center"/>
    </xf>
    <xf numFmtId="9" fontId="2" fillId="2" borderId="25" xfId="7" applyNumberFormat="1" applyFont="1" applyFill="1" applyBorder="1" applyAlignment="1">
      <alignment horizontal="center"/>
    </xf>
    <xf numFmtId="9" fontId="2" fillId="2" borderId="28" xfId="7" applyNumberFormat="1" applyFont="1" applyFill="1" applyBorder="1" applyAlignment="1">
      <alignment horizontal="center"/>
    </xf>
    <xf numFmtId="0" fontId="4" fillId="2" borderId="58" xfId="7" applyFont="1" applyFill="1" applyBorder="1" applyAlignment="1">
      <alignment horizontal="center"/>
    </xf>
    <xf numFmtId="0" fontId="4" fillId="2" borderId="59" xfId="7" applyFont="1" applyFill="1" applyBorder="1" applyAlignment="1">
      <alignment horizontal="center"/>
    </xf>
    <xf numFmtId="0" fontId="4" fillId="4" borderId="58" xfId="7" applyFont="1" applyFill="1" applyBorder="1" applyAlignment="1">
      <alignment horizontal="center"/>
    </xf>
    <xf numFmtId="9" fontId="2" fillId="4" borderId="2" xfId="2" applyFont="1" applyFill="1" applyBorder="1" applyAlignment="1">
      <alignment horizontal="center"/>
    </xf>
    <xf numFmtId="9" fontId="2" fillId="4" borderId="0" xfId="2" applyFont="1" applyFill="1" applyBorder="1" applyAlignment="1">
      <alignment horizontal="center"/>
    </xf>
    <xf numFmtId="9" fontId="2" fillId="4" borderId="25" xfId="2" applyFont="1" applyFill="1" applyBorder="1" applyAlignment="1">
      <alignment horizontal="center"/>
    </xf>
    <xf numFmtId="3" fontId="2" fillId="3" borderId="2" xfId="7" applyNumberFormat="1" applyFont="1" applyFill="1" applyBorder="1"/>
    <xf numFmtId="3" fontId="2" fillId="2" borderId="2" xfId="7" applyNumberFormat="1" applyFont="1" applyFill="1" applyBorder="1"/>
    <xf numFmtId="3" fontId="2" fillId="2" borderId="61" xfId="7" applyNumberFormat="1" applyFont="1" applyFill="1" applyBorder="1"/>
    <xf numFmtId="3" fontId="2" fillId="3" borderId="0" xfId="7" applyNumberFormat="1" applyFont="1" applyFill="1" applyBorder="1"/>
    <xf numFmtId="3" fontId="2" fillId="2" borderId="0" xfId="7" applyNumberFormat="1" applyFont="1" applyFill="1" applyBorder="1"/>
    <xf numFmtId="3" fontId="2" fillId="2" borderId="46" xfId="7" applyNumberFormat="1" applyFont="1" applyFill="1" applyBorder="1"/>
    <xf numFmtId="3" fontId="2" fillId="3" borderId="25" xfId="7" applyNumberFormat="1" applyFont="1" applyFill="1" applyBorder="1"/>
    <xf numFmtId="3" fontId="2" fillId="2" borderId="25" xfId="7" applyNumberFormat="1" applyFont="1" applyFill="1" applyBorder="1"/>
    <xf numFmtId="3" fontId="2" fillId="2" borderId="28" xfId="7" applyNumberFormat="1" applyFont="1" applyFill="1" applyBorder="1"/>
    <xf numFmtId="0" fontId="2" fillId="14" borderId="0" xfId="7" applyFont="1" applyFill="1" applyAlignment="1">
      <alignment horizontal="left" vertical="center"/>
    </xf>
    <xf numFmtId="0" fontId="4" fillId="14" borderId="0" xfId="7" applyFont="1" applyFill="1" applyAlignment="1">
      <alignment horizontal="left"/>
    </xf>
    <xf numFmtId="0" fontId="2" fillId="14" borderId="0" xfId="7" applyFont="1" applyFill="1" applyAlignment="1">
      <alignment horizontal="left" vertical="top"/>
    </xf>
    <xf numFmtId="0" fontId="2" fillId="14" borderId="0" xfId="7" applyFont="1" applyFill="1" applyAlignment="1">
      <alignment horizontal="left" vertical="center" wrapText="1"/>
    </xf>
    <xf numFmtId="0" fontId="2" fillId="14" borderId="0" xfId="7" applyFont="1" applyFill="1" applyAlignment="1">
      <alignment horizontal="left"/>
    </xf>
    <xf numFmtId="172" fontId="37" fillId="2" borderId="0" xfId="2" applyNumberFormat="1" applyFont="1" applyFill="1" applyBorder="1" applyAlignment="1">
      <alignment vertical="center"/>
    </xf>
    <xf numFmtId="0" fontId="4" fillId="2" borderId="0" xfId="0" applyFont="1" applyFill="1" applyBorder="1" applyAlignment="1">
      <alignment horizontal="center"/>
    </xf>
    <xf numFmtId="0" fontId="4" fillId="2" borderId="0" xfId="7" applyFont="1" applyFill="1" applyAlignment="1">
      <alignment vertical="center"/>
    </xf>
    <xf numFmtId="4" fontId="37" fillId="2" borderId="0" xfId="7" applyNumberFormat="1" applyFont="1" applyFill="1" applyBorder="1" applyAlignment="1">
      <alignment vertical="center"/>
    </xf>
    <xf numFmtId="0" fontId="4" fillId="2" borderId="0" xfId="7" applyFont="1" applyFill="1" applyBorder="1" applyAlignment="1">
      <alignment horizontal="center"/>
    </xf>
    <xf numFmtId="0" fontId="2" fillId="4" borderId="2" xfId="7" applyFont="1" applyFill="1" applyBorder="1"/>
    <xf numFmtId="0" fontId="2" fillId="4" borderId="0" xfId="7" applyFont="1" applyFill="1" applyBorder="1"/>
    <xf numFmtId="0" fontId="2" fillId="4" borderId="25" xfId="7" applyFont="1" applyFill="1" applyBorder="1"/>
    <xf numFmtId="3" fontId="2" fillId="7" borderId="0" xfId="7" applyNumberFormat="1" applyFont="1" applyFill="1" applyBorder="1"/>
    <xf numFmtId="0" fontId="4" fillId="7" borderId="58" xfId="7" applyFont="1" applyFill="1" applyBorder="1" applyAlignment="1">
      <alignment horizontal="center"/>
    </xf>
    <xf numFmtId="0" fontId="4" fillId="6" borderId="58" xfId="7" applyFont="1" applyFill="1" applyBorder="1" applyAlignment="1">
      <alignment horizontal="center"/>
    </xf>
    <xf numFmtId="0" fontId="4" fillId="3" borderId="58" xfId="7" applyFont="1" applyFill="1" applyBorder="1" applyAlignment="1">
      <alignment horizontal="center"/>
    </xf>
    <xf numFmtId="0" fontId="4" fillId="14" borderId="42"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4" fillId="14" borderId="3" xfId="0" quotePrefix="1" applyFont="1" applyFill="1" applyBorder="1" applyAlignment="1">
      <alignment horizontal="center" vertical="center" wrapText="1"/>
    </xf>
    <xf numFmtId="0" fontId="4" fillId="14" borderId="44" xfId="0" applyFont="1" applyFill="1" applyBorder="1" applyAlignment="1">
      <alignment horizontal="left" vertical="center" wrapText="1"/>
    </xf>
    <xf numFmtId="0" fontId="4" fillId="14" borderId="2" xfId="0" applyFont="1" applyFill="1" applyBorder="1" applyAlignment="1">
      <alignment horizontal="left" vertical="center" wrapText="1"/>
    </xf>
    <xf numFmtId="0" fontId="4" fillId="14" borderId="2" xfId="0" applyFont="1" applyFill="1" applyBorder="1" applyAlignment="1">
      <alignment horizontal="center" vertical="center" wrapText="1"/>
    </xf>
    <xf numFmtId="0" fontId="4" fillId="14" borderId="45" xfId="0" applyFont="1" applyFill="1" applyBorder="1" applyAlignment="1">
      <alignment horizontal="center" vertical="center" wrapText="1"/>
    </xf>
    <xf numFmtId="0" fontId="2" fillId="9" borderId="0" xfId="3" applyFont="1" applyBorder="1" applyAlignment="1">
      <alignment horizontal="center"/>
    </xf>
    <xf numFmtId="0" fontId="40" fillId="14" borderId="37" xfId="0" applyFont="1" applyFill="1" applyBorder="1" applyAlignment="1">
      <alignment horizontal="center"/>
    </xf>
    <xf numFmtId="0" fontId="4" fillId="14" borderId="47" xfId="0" applyFont="1" applyFill="1" applyBorder="1" applyAlignment="1">
      <alignment horizontal="left" vertical="center" wrapText="1"/>
    </xf>
    <xf numFmtId="0" fontId="4" fillId="14" borderId="27" xfId="0" applyFont="1" applyFill="1" applyBorder="1" applyAlignment="1">
      <alignment horizontal="center" vertical="center" wrapText="1"/>
    </xf>
    <xf numFmtId="0" fontId="4" fillId="14" borderId="48" xfId="0" applyFont="1" applyFill="1" applyBorder="1" applyAlignment="1">
      <alignment horizontal="center" vertical="center" wrapText="1"/>
    </xf>
    <xf numFmtId="168" fontId="2" fillId="14" borderId="0" xfId="0" applyNumberFormat="1" applyFont="1" applyFill="1" applyBorder="1" applyAlignment="1">
      <alignment horizontal="right"/>
    </xf>
    <xf numFmtId="0" fontId="4" fillId="2" borderId="0" xfId="0" applyFont="1" applyBorder="1" applyAlignment="1">
      <alignment horizontal="center"/>
    </xf>
    <xf numFmtId="3" fontId="2" fillId="6" borderId="0" xfId="0" applyNumberFormat="1" applyFont="1" applyFill="1" applyAlignment="1">
      <alignment horizontal="center"/>
    </xf>
    <xf numFmtId="0" fontId="4" fillId="6" borderId="3" xfId="0" applyFont="1" applyFill="1" applyBorder="1" applyAlignment="1" applyProtection="1">
      <alignment horizontal="center"/>
      <protection locked="0"/>
    </xf>
    <xf numFmtId="0" fontId="2" fillId="2" borderId="7" xfId="0" applyFont="1" applyFill="1" applyBorder="1"/>
    <xf numFmtId="4" fontId="2" fillId="6" borderId="0" xfId="0" applyNumberFormat="1" applyFont="1" applyFill="1" applyAlignment="1">
      <alignment horizontal="center"/>
    </xf>
    <xf numFmtId="165" fontId="2" fillId="2" borderId="0" xfId="0" applyNumberFormat="1" applyFont="1" applyAlignment="1">
      <alignment horizontal="center"/>
    </xf>
    <xf numFmtId="2" fontId="2" fillId="6" borderId="0" xfId="0" applyNumberFormat="1" applyFont="1" applyFill="1"/>
    <xf numFmtId="0" fontId="41" fillId="15" borderId="4" xfId="0" applyFont="1" applyFill="1" applyBorder="1" applyAlignment="1">
      <alignment horizontal="left"/>
    </xf>
    <xf numFmtId="0" fontId="41" fillId="15" borderId="22" xfId="0" applyFont="1" applyFill="1" applyBorder="1" applyAlignment="1">
      <alignment horizontal="left"/>
    </xf>
    <xf numFmtId="0" fontId="0" fillId="0" borderId="3" xfId="0" applyFill="1" applyBorder="1" applyAlignment="1"/>
    <xf numFmtId="0" fontId="42" fillId="16" borderId="0" xfId="0" applyFont="1" applyFill="1" applyBorder="1" applyAlignment="1">
      <alignment horizontal="left"/>
    </xf>
    <xf numFmtId="0" fontId="43" fillId="16" borderId="3" xfId="0" applyFont="1" applyFill="1" applyBorder="1" applyAlignment="1">
      <alignment horizontal="left"/>
    </xf>
    <xf numFmtId="0" fontId="42" fillId="16" borderId="55" xfId="0" applyFont="1" applyFill="1" applyBorder="1" applyAlignment="1">
      <alignment horizontal="left"/>
    </xf>
    <xf numFmtId="0" fontId="44" fillId="15" borderId="22" xfId="0" applyFont="1" applyFill="1" applyBorder="1" applyAlignment="1">
      <alignment horizontal="right"/>
    </xf>
    <xf numFmtId="0" fontId="44" fillId="15" borderId="4" xfId="0" applyFont="1" applyFill="1" applyBorder="1" applyAlignment="1">
      <alignment horizontal="right"/>
    </xf>
    <xf numFmtId="3" fontId="0" fillId="17" borderId="0" xfId="0" applyNumberFormat="1" applyFill="1" applyBorder="1" applyAlignment="1"/>
    <xf numFmtId="0" fontId="0" fillId="17" borderId="0" xfId="0" applyFill="1" applyBorder="1" applyAlignment="1"/>
    <xf numFmtId="167" fontId="0" fillId="0" borderId="0" xfId="0" applyNumberFormat="1" applyFill="1" applyBorder="1" applyAlignment="1"/>
    <xf numFmtId="3" fontId="0" fillId="0" borderId="55" xfId="0" applyNumberFormat="1" applyFill="1" applyBorder="1" applyAlignment="1"/>
    <xf numFmtId="0" fontId="0" fillId="2" borderId="0" xfId="0" quotePrefix="1"/>
    <xf numFmtId="167" fontId="2" fillId="2" borderId="9" xfId="0" applyNumberFormat="1" applyFont="1" applyFill="1" applyBorder="1"/>
    <xf numFmtId="175" fontId="2" fillId="2" borderId="0" xfId="0" applyNumberFormat="1" applyFont="1"/>
    <xf numFmtId="166" fontId="2" fillId="2" borderId="0" xfId="0" applyNumberFormat="1" applyFont="1" applyAlignment="1">
      <alignment horizontal="right"/>
    </xf>
    <xf numFmtId="2" fontId="2" fillId="2" borderId="0" xfId="0" applyNumberFormat="1" applyFont="1"/>
    <xf numFmtId="2" fontId="2" fillId="3" borderId="7" xfId="3" applyNumberFormat="1" applyFill="1"/>
    <xf numFmtId="0" fontId="5" fillId="2" borderId="0" xfId="0" applyFont="1" applyAlignment="1">
      <alignment horizontal="right"/>
    </xf>
    <xf numFmtId="172" fontId="2" fillId="2" borderId="0" xfId="2" applyNumberFormat="1" applyFont="1" applyFill="1" applyAlignment="1">
      <alignment horizontal="center"/>
    </xf>
    <xf numFmtId="0" fontId="4" fillId="2" borderId="1" xfId="7" applyFont="1" applyFill="1" applyBorder="1" applyProtection="1">
      <protection locked="0"/>
    </xf>
    <xf numFmtId="0" fontId="2" fillId="2" borderId="0" xfId="0" applyFont="1" applyAlignment="1">
      <alignment horizontal="left" vertical="center" wrapText="1"/>
    </xf>
    <xf numFmtId="0" fontId="25" fillId="2" borderId="0" xfId="0" applyFont="1" applyAlignment="1">
      <alignment horizontal="left" vertical="center" wrapText="1"/>
    </xf>
    <xf numFmtId="0" fontId="5" fillId="2" borderId="0" xfId="0" applyFont="1" applyAlignment="1">
      <alignment horizontal="left" vertical="center" wrapText="1"/>
    </xf>
    <xf numFmtId="0" fontId="33" fillId="2" borderId="0" xfId="0" applyFont="1" applyAlignment="1">
      <alignment horizontal="left" vertical="center" wrapText="1"/>
    </xf>
    <xf numFmtId="0" fontId="2" fillId="2" borderId="0" xfId="0" applyFont="1" applyAlignment="1">
      <alignment horizontal="left" vertical="top" wrapText="1"/>
    </xf>
    <xf numFmtId="0" fontId="4" fillId="2" borderId="0" xfId="7" applyFont="1" applyFill="1" applyBorder="1" applyAlignment="1">
      <alignment horizontal="center"/>
    </xf>
    <xf numFmtId="4" fontId="37" fillId="2" borderId="0" xfId="7" applyNumberFormat="1" applyFont="1" applyFill="1" applyBorder="1" applyAlignment="1">
      <alignment horizontal="center" vertical="center"/>
    </xf>
    <xf numFmtId="0" fontId="2" fillId="0" borderId="0" xfId="7" applyFont="1" applyAlignment="1">
      <alignment horizontal="center" vertical="top" wrapText="1"/>
    </xf>
    <xf numFmtId="170" fontId="2" fillId="14" borderId="0" xfId="7" applyNumberFormat="1" applyFont="1" applyFill="1" applyAlignment="1">
      <alignment horizontal="left"/>
    </xf>
    <xf numFmtId="0" fontId="2" fillId="14" borderId="0" xfId="7" applyFont="1" applyFill="1" applyAlignment="1">
      <alignment horizontal="left" vertical="top" wrapText="1"/>
    </xf>
    <xf numFmtId="0" fontId="2" fillId="14" borderId="0" xfId="7" applyFont="1" applyFill="1" applyAlignment="1">
      <alignment horizontal="left"/>
    </xf>
    <xf numFmtId="0" fontId="2" fillId="14" borderId="0" xfId="7" applyFont="1" applyFill="1" applyAlignment="1">
      <alignment horizontal="left" vertical="center" wrapText="1"/>
    </xf>
    <xf numFmtId="0" fontId="4" fillId="2" borderId="0" xfId="7" applyFont="1" applyFill="1" applyAlignment="1">
      <alignment horizontal="center" vertical="center"/>
    </xf>
    <xf numFmtId="174" fontId="37" fillId="2" borderId="0" xfId="0" applyNumberFormat="1" applyFont="1" applyFill="1" applyBorder="1" applyAlignment="1">
      <alignment horizontal="center" vertical="center"/>
    </xf>
    <xf numFmtId="0" fontId="2" fillId="2" borderId="0" xfId="0" applyFont="1" applyFill="1" applyBorder="1" applyAlignment="1">
      <alignment horizontal="center" vertical="top" wrapText="1"/>
    </xf>
    <xf numFmtId="0" fontId="6" fillId="14" borderId="0" xfId="7" applyFont="1" applyFill="1" applyAlignment="1">
      <alignment horizontal="left"/>
    </xf>
    <xf numFmtId="0" fontId="38" fillId="13" borderId="21" xfId="7" applyFont="1" applyFill="1" applyBorder="1" applyAlignment="1">
      <alignment horizontal="left"/>
    </xf>
    <xf numFmtId="0" fontId="38" fillId="13" borderId="22" xfId="7" applyFont="1" applyFill="1" applyBorder="1" applyAlignment="1">
      <alignment horizontal="left"/>
    </xf>
    <xf numFmtId="171" fontId="2" fillId="14" borderId="0" xfId="7" applyNumberFormat="1" applyFont="1" applyFill="1" applyAlignment="1">
      <alignment horizontal="left"/>
    </xf>
    <xf numFmtId="0" fontId="38" fillId="13" borderId="30" xfId="7" applyFont="1" applyFill="1" applyBorder="1" applyAlignment="1">
      <alignment horizontal="left"/>
    </xf>
    <xf numFmtId="0" fontId="38" fillId="13" borderId="31" xfId="7" applyFont="1" applyFill="1" applyBorder="1" applyAlignment="1">
      <alignment horizontal="left"/>
    </xf>
    <xf numFmtId="172" fontId="37" fillId="2" borderId="0" xfId="2" applyNumberFormat="1" applyFont="1" applyFill="1" applyBorder="1" applyAlignment="1">
      <alignment horizontal="center" vertical="center"/>
    </xf>
    <xf numFmtId="0" fontId="2" fillId="2" borderId="5" xfId="0" applyFont="1" applyBorder="1" applyAlignment="1">
      <alignment horizontal="left" vertical="center" wrapText="1"/>
    </xf>
    <xf numFmtId="0" fontId="2" fillId="2" borderId="3" xfId="0" applyFont="1" applyBorder="1" applyAlignment="1">
      <alignment horizontal="left" vertical="center" wrapText="1"/>
    </xf>
    <xf numFmtId="0" fontId="2" fillId="2" borderId="6" xfId="0" applyFont="1" applyBorder="1" applyAlignment="1">
      <alignment horizontal="left" vertical="center" wrapText="1"/>
    </xf>
    <xf numFmtId="3" fontId="2" fillId="2" borderId="5" xfId="0" applyNumberFormat="1" applyFont="1" applyBorder="1" applyAlignment="1">
      <alignment horizontal="left" vertical="center" wrapText="1"/>
    </xf>
    <xf numFmtId="3" fontId="2" fillId="2" borderId="3" xfId="0" applyNumberFormat="1" applyFont="1" applyBorder="1" applyAlignment="1">
      <alignment horizontal="left" vertical="center" wrapText="1"/>
    </xf>
    <xf numFmtId="3" fontId="2" fillId="2" borderId="6" xfId="0" applyNumberFormat="1" applyFont="1" applyBorder="1" applyAlignment="1">
      <alignment horizontal="left" vertical="center" wrapText="1"/>
    </xf>
    <xf numFmtId="0" fontId="6" fillId="2" borderId="4" xfId="0" applyFont="1" applyBorder="1" applyAlignment="1">
      <alignment horizontal="center" vertical="center"/>
    </xf>
    <xf numFmtId="0" fontId="2" fillId="2" borderId="1" xfId="0" applyFont="1" applyBorder="1" applyAlignment="1">
      <alignment horizontal="left" vertical="center" wrapText="1"/>
    </xf>
    <xf numFmtId="0" fontId="12" fillId="2" borderId="7" xfId="0" applyFont="1" applyBorder="1" applyAlignment="1">
      <alignment horizontal="left" wrapText="1"/>
    </xf>
    <xf numFmtId="0" fontId="12" fillId="2" borderId="0" xfId="0" applyFont="1" applyAlignment="1">
      <alignment horizontal="left" wrapText="1"/>
    </xf>
    <xf numFmtId="0" fontId="2" fillId="14" borderId="5"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2" fillId="14" borderId="6" xfId="0" applyFont="1" applyFill="1" applyBorder="1" applyAlignment="1">
      <alignment horizontal="left" vertical="center" wrapText="1"/>
    </xf>
    <xf numFmtId="0" fontId="38" fillId="13" borderId="30" xfId="0" applyFont="1" applyFill="1" applyBorder="1" applyAlignment="1">
      <alignment horizontal="left"/>
    </xf>
    <xf numFmtId="0" fontId="38" fillId="13" borderId="31" xfId="0" applyFont="1" applyFill="1" applyBorder="1" applyAlignment="1">
      <alignment horizontal="left"/>
    </xf>
    <xf numFmtId="0" fontId="4" fillId="4" borderId="0" xfId="0" applyFont="1" applyFill="1" applyAlignment="1" applyProtection="1">
      <alignment horizontal="left"/>
      <protection locked="0"/>
    </xf>
    <xf numFmtId="0" fontId="4" fillId="4" borderId="9" xfId="0" applyFont="1" applyFill="1" applyBorder="1" applyAlignment="1" applyProtection="1">
      <alignment horizontal="left"/>
      <protection locked="0"/>
    </xf>
    <xf numFmtId="0" fontId="2" fillId="4" borderId="4" xfId="0" applyFont="1" applyFill="1" applyBorder="1" applyAlignment="1">
      <alignment horizontal="left"/>
    </xf>
    <xf numFmtId="0" fontId="2" fillId="4" borderId="10" xfId="0" applyFont="1" applyFill="1" applyBorder="1" applyAlignment="1">
      <alignment horizontal="left"/>
    </xf>
    <xf numFmtId="0" fontId="2" fillId="4" borderId="2" xfId="0" applyFont="1" applyFill="1" applyBorder="1" applyAlignment="1">
      <alignment horizontal="left"/>
    </xf>
    <xf numFmtId="0" fontId="2" fillId="4" borderId="8" xfId="0" applyFont="1" applyFill="1" applyBorder="1" applyAlignment="1">
      <alignment horizontal="left"/>
    </xf>
    <xf numFmtId="0" fontId="4" fillId="3" borderId="2"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4" fillId="3" borderId="0" xfId="0" applyFont="1" applyFill="1" applyAlignment="1" applyProtection="1">
      <alignment horizontal="center"/>
      <protection locked="0"/>
    </xf>
    <xf numFmtId="0" fontId="4" fillId="3" borderId="9" xfId="0" applyFont="1" applyFill="1" applyBorder="1" applyAlignment="1" applyProtection="1">
      <alignment horizontal="center"/>
      <protection locked="0"/>
    </xf>
  </cellXfs>
  <cellStyles count="8">
    <cellStyle name="Calculated value" xfId="4" xr:uid="{00000000-0005-0000-0000-000000000000}"/>
    <cellStyle name="Currency" xfId="5" builtinId="4"/>
    <cellStyle name="Environmental" xfId="1" xr:uid="{00000000-0005-0000-0000-000002000000}"/>
    <cellStyle name="Fixed value" xfId="3" xr:uid="{00000000-0005-0000-0000-000003000000}"/>
    <cellStyle name="Hyperlink" xfId="6" builtinId="8"/>
    <cellStyle name="Normal" xfId="0" builtinId="0" customBuiltin="1"/>
    <cellStyle name="Normal 2" xfId="7" xr:uid="{897E2570-553C-4A4E-AD63-8432E33194FB}"/>
    <cellStyle name="Percent" xfId="2" builtinId="5"/>
  </cellStyles>
  <dxfs count="9">
    <dxf>
      <font>
        <color rgb="FF006100"/>
      </font>
      <fill>
        <patternFill>
          <bgColor rgb="FFC6EFCE"/>
        </patternFill>
      </fill>
    </dxf>
    <dxf>
      <fill>
        <patternFill>
          <bgColor theme="9"/>
        </patternFill>
      </fill>
    </dxf>
    <dxf>
      <fill>
        <patternFill>
          <bgColor theme="5"/>
        </patternFill>
      </fill>
    </dxf>
    <dxf>
      <fill>
        <patternFill>
          <bgColor rgb="FFFF0000"/>
        </patternFill>
      </fill>
    </dxf>
    <dxf>
      <fill>
        <patternFill>
          <bgColor theme="9"/>
        </patternFill>
      </fill>
    </dxf>
    <dxf>
      <fill>
        <patternFill>
          <bgColor theme="5"/>
        </patternFill>
      </fill>
    </dxf>
    <dxf>
      <fill>
        <patternFill>
          <bgColor rgb="FFFF0000"/>
        </patternFill>
      </fill>
    </dxf>
    <dxf>
      <font>
        <color theme="5" tint="0.79998168889431442"/>
      </font>
      <fill>
        <patternFill>
          <bgColor theme="5" tint="0.79998168889431442"/>
        </patternFill>
      </fill>
    </dxf>
    <dxf>
      <font>
        <color theme="5" tint="0.79998168889431442"/>
      </font>
      <fill>
        <patternFill>
          <bgColor theme="5" tint="0.79998168889431442"/>
        </patternFill>
      </fill>
    </dxf>
  </dxfs>
  <tableStyles count="0" defaultTableStyle="TableStyleMedium2" defaultPivotStyle="PivotStyleLight16"/>
  <colors>
    <mruColors>
      <color rgb="FFDADEB8"/>
      <color rgb="FFFDD9CF"/>
      <color rgb="FFC4DEB4"/>
      <color rgb="FFFF8989"/>
      <color rgb="FFFF8B8B"/>
      <color rgb="FFFCC2B2"/>
      <color rgb="FFD6DAAE"/>
      <color rgb="FFCFD4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latin typeface="Verdana" panose="020B0604030504040204" pitchFamily="34" charset="0"/>
                <a:ea typeface="Verdana" panose="020B0604030504040204" pitchFamily="34" charset="0"/>
              </a:rPr>
              <a:t>Levelized</a:t>
            </a:r>
            <a:r>
              <a:rPr lang="en-US" sz="1100" b="1" baseline="0">
                <a:latin typeface="Verdana" panose="020B0604030504040204" pitchFamily="34" charset="0"/>
                <a:ea typeface="Verdana" panose="020B0604030504040204" pitchFamily="34" charset="0"/>
              </a:rPr>
              <a:t> cost of product, CAPEX, OPEX</a:t>
            </a:r>
            <a:endParaRPr lang="en-US" sz="1100" b="1">
              <a:latin typeface="Verdana" panose="020B0604030504040204" pitchFamily="34" charset="0"/>
              <a:ea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Levelized cost of product</c:v>
              </c:pt>
              <c:pt idx="1">
                <c:v>CAPEX</c:v>
              </c:pt>
              <c:pt idx="2">
                <c:v>OPEX</c:v>
              </c:pt>
            </c:strLit>
          </c:cat>
          <c:val>
            <c:numRef>
              <c:f>'Dashboard results'!$F$71:$F$73</c:f>
              <c:numCache>
                <c:formatCode>#,##0</c:formatCode>
                <c:ptCount val="3"/>
                <c:pt idx="0">
                  <c:v>10698.319835472179</c:v>
                </c:pt>
                <c:pt idx="1">
                  <c:v>1438.592307382291</c:v>
                </c:pt>
                <c:pt idx="2">
                  <c:v>9259.7275280898884</c:v>
                </c:pt>
              </c:numCache>
            </c:numRef>
          </c:val>
          <c:extLst>
            <c:ext xmlns:c16="http://schemas.microsoft.com/office/drawing/2014/chart" uri="{C3380CC4-5D6E-409C-BE32-E72D297353CC}">
              <c16:uniqueId val="{00000000-7669-44E6-893C-AFAE9B7C7C27}"/>
            </c:ext>
          </c:extLst>
        </c:ser>
        <c:dLbls>
          <c:dLblPos val="outEnd"/>
          <c:showLegendKey val="0"/>
          <c:showVal val="1"/>
          <c:showCatName val="0"/>
          <c:showSerName val="0"/>
          <c:showPercent val="0"/>
          <c:showBubbleSize val="0"/>
        </c:dLbls>
        <c:gapWidth val="219"/>
        <c:overlap val="-27"/>
        <c:axId val="6163983"/>
        <c:axId val="6173551"/>
      </c:barChart>
      <c:catAx>
        <c:axId val="616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BE"/>
          </a:p>
        </c:txPr>
        <c:crossAx val="6173551"/>
        <c:crosses val="autoZero"/>
        <c:auto val="1"/>
        <c:lblAlgn val="ctr"/>
        <c:lblOffset val="100"/>
        <c:noMultiLvlLbl val="0"/>
      </c:catAx>
      <c:valAx>
        <c:axId val="61735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a:latin typeface="Verdana" panose="020B0604030504040204" pitchFamily="34" charset="0"/>
                    <a:ea typeface="Verdana" panose="020B0604030504040204" pitchFamily="34" charset="0"/>
                  </a:rPr>
                  <a:t>€/ton product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6163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Investment cost PEM electrolyser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3.0305140453741487E-2"/>
                  <c:y val="-0.116103407204854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trendlineLbl>
          </c:trendline>
          <c:xVal>
            <c:numRef>
              <c:f>'Data - general'!$C$44:$C$48</c:f>
              <c:numCache>
                <c:formatCode>General</c:formatCode>
                <c:ptCount val="5"/>
                <c:pt idx="0">
                  <c:v>1</c:v>
                </c:pt>
                <c:pt idx="1">
                  <c:v>2.5</c:v>
                </c:pt>
                <c:pt idx="2">
                  <c:v>50</c:v>
                </c:pt>
                <c:pt idx="3">
                  <c:v>70</c:v>
                </c:pt>
                <c:pt idx="4">
                  <c:v>100</c:v>
                </c:pt>
              </c:numCache>
            </c:numRef>
          </c:xVal>
          <c:yVal>
            <c:numRef>
              <c:f>'Data - general'!$D$44:$D$48</c:f>
              <c:numCache>
                <c:formatCode>General</c:formatCode>
                <c:ptCount val="5"/>
                <c:pt idx="0">
                  <c:v>2100</c:v>
                </c:pt>
                <c:pt idx="1">
                  <c:v>1400</c:v>
                </c:pt>
                <c:pt idx="2">
                  <c:v>800</c:v>
                </c:pt>
                <c:pt idx="3">
                  <c:v>800</c:v>
                </c:pt>
                <c:pt idx="4">
                  <c:v>800</c:v>
                </c:pt>
              </c:numCache>
            </c:numRef>
          </c:yVal>
          <c:smooth val="0"/>
          <c:extLst>
            <c:ext xmlns:c16="http://schemas.microsoft.com/office/drawing/2014/chart" uri="{C3380CC4-5D6E-409C-BE32-E72D297353CC}">
              <c16:uniqueId val="{00000000-165C-4435-A13A-51FE9DBA7DC1}"/>
            </c:ext>
          </c:extLst>
        </c:ser>
        <c:dLbls>
          <c:showLegendKey val="0"/>
          <c:showVal val="0"/>
          <c:showCatName val="0"/>
          <c:showSerName val="0"/>
          <c:showPercent val="0"/>
          <c:showBubbleSize val="0"/>
        </c:dLbls>
        <c:axId val="1595538208"/>
        <c:axId val="1595532384"/>
      </c:scatterChart>
      <c:valAx>
        <c:axId val="15955382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Capacity (MW)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595532384"/>
        <c:crosses val="autoZero"/>
        <c:crossBetween val="midCat"/>
      </c:valAx>
      <c:valAx>
        <c:axId val="1595532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Investment cost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5955382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Investment cost Alkaline electrolyser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9.8256736351707121E-4"/>
                  <c:y val="-0.1086892327939069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trendlineLbl>
          </c:trendline>
          <c:xVal>
            <c:numRef>
              <c:f>'Data - general'!$C$67:$C$71</c:f>
              <c:numCache>
                <c:formatCode>General</c:formatCode>
                <c:ptCount val="5"/>
                <c:pt idx="0">
                  <c:v>0.5</c:v>
                </c:pt>
                <c:pt idx="1">
                  <c:v>1</c:v>
                </c:pt>
                <c:pt idx="2">
                  <c:v>20</c:v>
                </c:pt>
                <c:pt idx="3">
                  <c:v>40</c:v>
                </c:pt>
                <c:pt idx="4">
                  <c:v>100</c:v>
                </c:pt>
              </c:numCache>
            </c:numRef>
          </c:xVal>
          <c:yVal>
            <c:numRef>
              <c:f>'Data - general'!$D$67:$D$71</c:f>
              <c:numCache>
                <c:formatCode>General</c:formatCode>
                <c:ptCount val="5"/>
                <c:pt idx="0">
                  <c:v>2000</c:v>
                </c:pt>
                <c:pt idx="1">
                  <c:v>1800</c:v>
                </c:pt>
                <c:pt idx="2">
                  <c:v>550</c:v>
                </c:pt>
                <c:pt idx="3">
                  <c:v>300</c:v>
                </c:pt>
                <c:pt idx="4">
                  <c:v>300</c:v>
                </c:pt>
              </c:numCache>
            </c:numRef>
          </c:yVal>
          <c:smooth val="0"/>
          <c:extLst>
            <c:ext xmlns:c16="http://schemas.microsoft.com/office/drawing/2014/chart" uri="{C3380CC4-5D6E-409C-BE32-E72D297353CC}">
              <c16:uniqueId val="{00000000-5B1D-489B-AC9C-9E63D6F1617F}"/>
            </c:ext>
          </c:extLst>
        </c:ser>
        <c:dLbls>
          <c:showLegendKey val="0"/>
          <c:showVal val="0"/>
          <c:showCatName val="0"/>
          <c:showSerName val="0"/>
          <c:showPercent val="0"/>
          <c:showBubbleSize val="0"/>
        </c:dLbls>
        <c:axId val="1205001584"/>
        <c:axId val="1205002416"/>
      </c:scatterChart>
      <c:valAx>
        <c:axId val="12050015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Capacity (MW)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205002416"/>
        <c:crosses val="autoZero"/>
        <c:crossBetween val="midCat"/>
      </c:valAx>
      <c:valAx>
        <c:axId val="1205002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Investment cost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2050015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Cost breakdown</a:t>
            </a:r>
          </a:p>
        </c:rich>
      </c:tx>
      <c:layout>
        <c:manualLayout>
          <c:xMode val="edge"/>
          <c:yMode val="edge"/>
          <c:x val="0.50629252604931951"/>
          <c:y val="2.22531260969593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694-4C78-84B1-14F2591CC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694-4C78-84B1-14F2591CC1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694-4C78-84B1-14F2591CC1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694-4C78-84B1-14F2591CC1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694-4C78-84B1-14F2591CC1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694-4C78-84B1-14F2591CC1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694-4C78-84B1-14F2591CC1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694-4C78-84B1-14F2591CC1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694-4C78-84B1-14F2591CC1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694-4C78-84B1-14F2591CC16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Pathway 1'!$B$189:$B$198</c:f>
              <c:strCache>
                <c:ptCount val="10"/>
                <c:pt idx="0">
                  <c:v>CAPEX electrolyser</c:v>
                </c:pt>
                <c:pt idx="1">
                  <c:v>CAPEX compressor</c:v>
                </c:pt>
                <c:pt idx="2">
                  <c:v>CAPEX storage</c:v>
                </c:pt>
                <c:pt idx="3">
                  <c:v>Electricity electrolyser</c:v>
                </c:pt>
                <c:pt idx="4">
                  <c:v>Water electrolyser</c:v>
                </c:pt>
                <c:pt idx="5">
                  <c:v>Electricity compressor</c:v>
                </c:pt>
                <c:pt idx="6">
                  <c:v>Insurance</c:v>
                </c:pt>
                <c:pt idx="7">
                  <c:v>Maintenance and repair</c:v>
                </c:pt>
                <c:pt idx="8">
                  <c:v>Labor</c:v>
                </c:pt>
                <c:pt idx="9">
                  <c:v>Overhead</c:v>
                </c:pt>
              </c:strCache>
            </c:strRef>
          </c:cat>
          <c:val>
            <c:numRef>
              <c:f>'1. Pathway 1'!$D$189:$D$198</c:f>
              <c:numCache>
                <c:formatCode>_-[$€-2]\ * #,##0_-;\-[$€-2]\ * #,##0_-;_-[$€-2]\ * "-"??_-;_-@_-</c:formatCode>
                <c:ptCount val="10"/>
                <c:pt idx="0">
                  <c:v>1102.1570113777132</c:v>
                </c:pt>
                <c:pt idx="1">
                  <c:v>200.40783302752683</c:v>
                </c:pt>
                <c:pt idx="2">
                  <c:v>136.02746297705076</c:v>
                </c:pt>
                <c:pt idx="3">
                  <c:v>7707.865168539327</c:v>
                </c:pt>
                <c:pt idx="4">
                  <c:v>0</c:v>
                </c:pt>
                <c:pt idx="5">
                  <c:v>560</c:v>
                </c:pt>
                <c:pt idx="6">
                  <c:v>108.33426966292134</c:v>
                </c:pt>
                <c:pt idx="7">
                  <c:v>541.67134831460669</c:v>
                </c:pt>
                <c:pt idx="8">
                  <c:v>0</c:v>
                </c:pt>
                <c:pt idx="9">
                  <c:v>325.002808988764</c:v>
                </c:pt>
              </c:numCache>
            </c:numRef>
          </c:val>
          <c:extLst>
            <c:ext xmlns:c16="http://schemas.microsoft.com/office/drawing/2014/chart" uri="{C3380CC4-5D6E-409C-BE32-E72D297353CC}">
              <c16:uniqueId val="{00000000-3F6D-4299-83B2-3469FFF886D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Impact electricity price and operating hours on LCOH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scatterChart>
        <c:scatterStyle val="smoothMarker"/>
        <c:varyColors val="0"/>
        <c:ser>
          <c:idx val="3"/>
          <c:order val="3"/>
          <c:tx>
            <c:v>Electricity price: €40/MWh</c:v>
          </c:tx>
          <c:spPr>
            <a:ln w="19050" cap="rnd">
              <a:solidFill>
                <a:schemeClr val="accent4"/>
              </a:solidFill>
              <a:round/>
            </a:ln>
            <a:effectLst/>
          </c:spPr>
          <c:marker>
            <c:symbol val="none"/>
          </c:marker>
          <c:xVal>
            <c:numRef>
              <c:f>'1. Pathway 1'!$D$266:$K$266</c:f>
              <c:numCache>
                <c:formatCode>#,##0</c:formatCode>
                <c:ptCount val="8"/>
                <c:pt idx="0">
                  <c:v>1000</c:v>
                </c:pt>
                <c:pt idx="1">
                  <c:v>2000</c:v>
                </c:pt>
                <c:pt idx="2">
                  <c:v>3000</c:v>
                </c:pt>
                <c:pt idx="3">
                  <c:v>4000</c:v>
                </c:pt>
                <c:pt idx="4">
                  <c:v>5000</c:v>
                </c:pt>
                <c:pt idx="5">
                  <c:v>6000</c:v>
                </c:pt>
                <c:pt idx="6">
                  <c:v>7000</c:v>
                </c:pt>
                <c:pt idx="7">
                  <c:v>8000</c:v>
                </c:pt>
              </c:numCache>
            </c:numRef>
          </c:xVal>
          <c:yVal>
            <c:numRef>
              <c:f>'1. Pathway 1'!$D$270:$K$270</c:f>
              <c:numCache>
                <c:formatCode>#,##0</c:formatCode>
                <c:ptCount val="8"/>
                <c:pt idx="0">
                  <c:v>20359.803363402338</c:v>
                </c:pt>
                <c:pt idx="1">
                  <c:v>11369.452243498923</c:v>
                </c:pt>
                <c:pt idx="2">
                  <c:v>8372.6685368644503</c:v>
                </c:pt>
                <c:pt idx="3">
                  <c:v>6874.2766835472139</c:v>
                </c:pt>
                <c:pt idx="4">
                  <c:v>6049.1826010737241</c:v>
                </c:pt>
                <c:pt idx="5">
                  <c:v>5500.7327147895858</c:v>
                </c:pt>
                <c:pt idx="6">
                  <c:v>5091.3888573070544</c:v>
                </c:pt>
                <c:pt idx="7">
                  <c:v>4792.7018579440883</c:v>
                </c:pt>
              </c:numCache>
            </c:numRef>
          </c:yVal>
          <c:smooth val="1"/>
          <c:extLst>
            <c:ext xmlns:c16="http://schemas.microsoft.com/office/drawing/2014/chart" uri="{C3380CC4-5D6E-409C-BE32-E72D297353CC}">
              <c16:uniqueId val="{00000004-C144-4E4D-97C7-9778C127AB22}"/>
            </c:ext>
          </c:extLst>
        </c:ser>
        <c:ser>
          <c:idx val="4"/>
          <c:order val="4"/>
          <c:tx>
            <c:v>Electricity price: €80/MWh</c:v>
          </c:tx>
          <c:spPr>
            <a:ln w="19050" cap="rnd">
              <a:solidFill>
                <a:schemeClr val="accent5"/>
              </a:solidFill>
              <a:round/>
            </a:ln>
            <a:effectLst/>
          </c:spPr>
          <c:marker>
            <c:symbol val="none"/>
          </c:marker>
          <c:xVal>
            <c:numRef>
              <c:f>'1. Pathway 1'!$D$266:$K$266</c:f>
              <c:numCache>
                <c:formatCode>#,##0</c:formatCode>
                <c:ptCount val="8"/>
                <c:pt idx="0">
                  <c:v>1000</c:v>
                </c:pt>
                <c:pt idx="1">
                  <c:v>2000</c:v>
                </c:pt>
                <c:pt idx="2">
                  <c:v>3000</c:v>
                </c:pt>
                <c:pt idx="3">
                  <c:v>4000</c:v>
                </c:pt>
                <c:pt idx="4">
                  <c:v>5000</c:v>
                </c:pt>
                <c:pt idx="5">
                  <c:v>6000</c:v>
                </c:pt>
                <c:pt idx="6">
                  <c:v>7000</c:v>
                </c:pt>
                <c:pt idx="7">
                  <c:v>8000</c:v>
                </c:pt>
              </c:numCache>
            </c:numRef>
          </c:xVal>
          <c:yVal>
            <c:numRef>
              <c:f>'1. Pathway 1'!$D$274:$K$274</c:f>
              <c:numCache>
                <c:formatCode>#,##0</c:formatCode>
                <c:ptCount val="8"/>
                <c:pt idx="0">
                  <c:v>22722.050554413574</c:v>
                </c:pt>
                <c:pt idx="1">
                  <c:v>13731.699434510159</c:v>
                </c:pt>
                <c:pt idx="2">
                  <c:v>10734.915727875687</c:v>
                </c:pt>
                <c:pt idx="3">
                  <c:v>9236.5238745584502</c:v>
                </c:pt>
                <c:pt idx="4">
                  <c:v>8411.4297920849604</c:v>
                </c:pt>
                <c:pt idx="5">
                  <c:v>7862.979905800823</c:v>
                </c:pt>
                <c:pt idx="6">
                  <c:v>7453.6360483182907</c:v>
                </c:pt>
                <c:pt idx="7">
                  <c:v>7154.9490489553245</c:v>
                </c:pt>
              </c:numCache>
            </c:numRef>
          </c:yVal>
          <c:smooth val="1"/>
          <c:extLst>
            <c:ext xmlns:c16="http://schemas.microsoft.com/office/drawing/2014/chart" uri="{C3380CC4-5D6E-409C-BE32-E72D297353CC}">
              <c16:uniqueId val="{00000005-C144-4E4D-97C7-9778C127AB22}"/>
            </c:ext>
          </c:extLst>
        </c:ser>
        <c:ser>
          <c:idx val="5"/>
          <c:order val="5"/>
          <c:tx>
            <c:v>Electricity price: €100/MWh</c:v>
          </c:tx>
          <c:spPr>
            <a:ln w="19050" cap="rnd">
              <a:solidFill>
                <a:schemeClr val="accent6"/>
              </a:solidFill>
              <a:round/>
            </a:ln>
            <a:effectLst/>
          </c:spPr>
          <c:marker>
            <c:symbol val="none"/>
          </c:marker>
          <c:xVal>
            <c:numRef>
              <c:f>'1. Pathway 1'!$D$266:$K$266</c:f>
              <c:numCache>
                <c:formatCode>#,##0</c:formatCode>
                <c:ptCount val="8"/>
                <c:pt idx="0">
                  <c:v>1000</c:v>
                </c:pt>
                <c:pt idx="1">
                  <c:v>2000</c:v>
                </c:pt>
                <c:pt idx="2">
                  <c:v>3000</c:v>
                </c:pt>
                <c:pt idx="3">
                  <c:v>4000</c:v>
                </c:pt>
                <c:pt idx="4">
                  <c:v>5000</c:v>
                </c:pt>
                <c:pt idx="5">
                  <c:v>6000</c:v>
                </c:pt>
                <c:pt idx="6">
                  <c:v>7000</c:v>
                </c:pt>
                <c:pt idx="7">
                  <c:v>8000</c:v>
                </c:pt>
              </c:numCache>
            </c:numRef>
          </c:xVal>
          <c:yVal>
            <c:numRef>
              <c:f>'1. Pathway 1'!$D$276:$K$276</c:f>
              <c:numCache>
                <c:formatCode>#,##0</c:formatCode>
                <c:ptCount val="8"/>
                <c:pt idx="0">
                  <c:v>23903.174149919192</c:v>
                </c:pt>
                <c:pt idx="1">
                  <c:v>14912.823030015776</c:v>
                </c:pt>
                <c:pt idx="2">
                  <c:v>11916.039323381307</c:v>
                </c:pt>
                <c:pt idx="3">
                  <c:v>10417.647470064068</c:v>
                </c:pt>
                <c:pt idx="4">
                  <c:v>9592.5533875905785</c:v>
                </c:pt>
                <c:pt idx="5">
                  <c:v>9044.1035013064411</c:v>
                </c:pt>
                <c:pt idx="6">
                  <c:v>8634.7596438239088</c:v>
                </c:pt>
                <c:pt idx="7">
                  <c:v>8336.0726444609427</c:v>
                </c:pt>
              </c:numCache>
            </c:numRef>
          </c:yVal>
          <c:smooth val="1"/>
          <c:extLst>
            <c:ext xmlns:c16="http://schemas.microsoft.com/office/drawing/2014/chart" uri="{C3380CC4-5D6E-409C-BE32-E72D297353CC}">
              <c16:uniqueId val="{00000006-C144-4E4D-97C7-9778C127AB22}"/>
            </c:ext>
          </c:extLst>
        </c:ser>
        <c:ser>
          <c:idx val="6"/>
          <c:order val="6"/>
          <c:tx>
            <c:v>Electricity price: €140/MWh</c:v>
          </c:tx>
          <c:spPr>
            <a:ln w="19050" cap="rnd">
              <a:solidFill>
                <a:schemeClr val="accent1">
                  <a:lumMod val="60000"/>
                </a:schemeClr>
              </a:solidFill>
              <a:round/>
            </a:ln>
            <a:effectLst/>
          </c:spPr>
          <c:marker>
            <c:symbol val="none"/>
          </c:marker>
          <c:xVal>
            <c:numRef>
              <c:f>'1. Pathway 1'!$D$266:$K$266</c:f>
              <c:numCache>
                <c:formatCode>#,##0</c:formatCode>
                <c:ptCount val="8"/>
                <c:pt idx="0">
                  <c:v>1000</c:v>
                </c:pt>
                <c:pt idx="1">
                  <c:v>2000</c:v>
                </c:pt>
                <c:pt idx="2">
                  <c:v>3000</c:v>
                </c:pt>
                <c:pt idx="3">
                  <c:v>4000</c:v>
                </c:pt>
                <c:pt idx="4">
                  <c:v>5000</c:v>
                </c:pt>
                <c:pt idx="5">
                  <c:v>6000</c:v>
                </c:pt>
                <c:pt idx="6">
                  <c:v>7000</c:v>
                </c:pt>
                <c:pt idx="7">
                  <c:v>8000</c:v>
                </c:pt>
              </c:numCache>
            </c:numRef>
          </c:xVal>
          <c:yVal>
            <c:numRef>
              <c:f>'1. Pathway 1'!$D$280:$K$280</c:f>
              <c:numCache>
                <c:formatCode>#,##0</c:formatCode>
                <c:ptCount val="8"/>
                <c:pt idx="0">
                  <c:v>26265.421340930428</c:v>
                </c:pt>
                <c:pt idx="1">
                  <c:v>17275.07022102701</c:v>
                </c:pt>
                <c:pt idx="2">
                  <c:v>14278.286514392541</c:v>
                </c:pt>
                <c:pt idx="3">
                  <c:v>12779.894661075305</c:v>
                </c:pt>
                <c:pt idx="4">
                  <c:v>11954.800578601813</c:v>
                </c:pt>
                <c:pt idx="5">
                  <c:v>11406.350692317676</c:v>
                </c:pt>
                <c:pt idx="6">
                  <c:v>10997.006834835145</c:v>
                </c:pt>
                <c:pt idx="7">
                  <c:v>10698.319835472179</c:v>
                </c:pt>
              </c:numCache>
            </c:numRef>
          </c:yVal>
          <c:smooth val="1"/>
          <c:extLst>
            <c:ext xmlns:c16="http://schemas.microsoft.com/office/drawing/2014/chart" uri="{C3380CC4-5D6E-409C-BE32-E72D297353CC}">
              <c16:uniqueId val="{00000007-C144-4E4D-97C7-9778C127AB22}"/>
            </c:ext>
          </c:extLst>
        </c:ser>
        <c:dLbls>
          <c:showLegendKey val="0"/>
          <c:showVal val="0"/>
          <c:showCatName val="0"/>
          <c:showSerName val="0"/>
          <c:showPercent val="0"/>
          <c:showBubbleSize val="0"/>
        </c:dLbls>
        <c:axId val="739331056"/>
        <c:axId val="739325648"/>
        <c:extLst>
          <c:ext xmlns:c15="http://schemas.microsoft.com/office/drawing/2012/chart" uri="{02D57815-91ED-43cb-92C2-25804820EDAC}">
            <c15:filteredScatterSeries>
              <c15:ser>
                <c:idx val="0"/>
                <c:order val="0"/>
                <c:tx>
                  <c:v>Electricity price: €10/MWh</c:v>
                </c:tx>
                <c:spPr>
                  <a:ln w="19050" cap="rnd">
                    <a:solidFill>
                      <a:schemeClr val="accent1"/>
                    </a:solidFill>
                    <a:round/>
                  </a:ln>
                  <a:effectLst/>
                </c:spPr>
                <c:marker>
                  <c:symbol val="none"/>
                </c:marker>
                <c:xVal>
                  <c:numRef>
                    <c:extLst>
                      <c:ext uri="{02D57815-91ED-43cb-92C2-25804820EDAC}">
                        <c15:formulaRef>
                          <c15:sqref>'1. Pathway 1'!$D$266:$K$266</c15:sqref>
                        </c15:formulaRef>
                      </c:ext>
                    </c:extLst>
                    <c:numCache>
                      <c:formatCode>#,##0</c:formatCode>
                      <c:ptCount val="8"/>
                      <c:pt idx="0">
                        <c:v>1000</c:v>
                      </c:pt>
                      <c:pt idx="1">
                        <c:v>2000</c:v>
                      </c:pt>
                      <c:pt idx="2">
                        <c:v>3000</c:v>
                      </c:pt>
                      <c:pt idx="3">
                        <c:v>4000</c:v>
                      </c:pt>
                      <c:pt idx="4">
                        <c:v>5000</c:v>
                      </c:pt>
                      <c:pt idx="5">
                        <c:v>6000</c:v>
                      </c:pt>
                      <c:pt idx="6">
                        <c:v>7000</c:v>
                      </c:pt>
                      <c:pt idx="7">
                        <c:v>8000</c:v>
                      </c:pt>
                    </c:numCache>
                  </c:numRef>
                </c:xVal>
                <c:yVal>
                  <c:numRef>
                    <c:extLst>
                      <c:ext uri="{02D57815-91ED-43cb-92C2-25804820EDAC}">
                        <c15:formulaRef>
                          <c15:sqref>'1. Pathway 1'!$D$267:$K$267</c15:sqref>
                        </c15:formulaRef>
                      </c:ext>
                    </c:extLst>
                    <c:numCache>
                      <c:formatCode>#,##0</c:formatCode>
                      <c:ptCount val="8"/>
                      <c:pt idx="0">
                        <c:v>18588.11797014391</c:v>
                      </c:pt>
                      <c:pt idx="1">
                        <c:v>9597.7668502404958</c:v>
                      </c:pt>
                      <c:pt idx="2">
                        <c:v>6600.9831436060231</c:v>
                      </c:pt>
                      <c:pt idx="3">
                        <c:v>5102.5912902887867</c:v>
                      </c:pt>
                      <c:pt idx="4">
                        <c:v>4277.4972078152969</c:v>
                      </c:pt>
                      <c:pt idx="5">
                        <c:v>3729.0473215311595</c:v>
                      </c:pt>
                      <c:pt idx="6">
                        <c:v>3319.7034640486277</c:v>
                      </c:pt>
                      <c:pt idx="7">
                        <c:v>3021.016464685662</c:v>
                      </c:pt>
                    </c:numCache>
                  </c:numRef>
                </c:yVal>
                <c:smooth val="1"/>
                <c:extLst>
                  <c:ext xmlns:c16="http://schemas.microsoft.com/office/drawing/2014/chart" uri="{C3380CC4-5D6E-409C-BE32-E72D297353CC}">
                    <c16:uniqueId val="{00000000-C144-4E4D-97C7-9778C127AB22}"/>
                  </c:ext>
                </c:extLst>
              </c15:ser>
            </c15:filteredScatterSeries>
            <c15:filteredScatterSeries>
              <c15:ser>
                <c:idx val="1"/>
                <c:order val="1"/>
                <c:tx>
                  <c:v>Electricity price: €20/MWh</c:v>
                </c:tx>
                <c:spPr>
                  <a:ln w="19050" cap="rnd">
                    <a:solidFill>
                      <a:schemeClr val="accent2"/>
                    </a:solidFill>
                    <a:round/>
                  </a:ln>
                  <a:effectLst/>
                </c:spPr>
                <c:marker>
                  <c:symbol val="none"/>
                </c:marker>
                <c:xVal>
                  <c:numRef>
                    <c:extLst xmlns:c15="http://schemas.microsoft.com/office/drawing/2012/chart">
                      <c:ext xmlns:c15="http://schemas.microsoft.com/office/drawing/2012/chart" uri="{02D57815-91ED-43cb-92C2-25804820EDAC}">
                        <c15:formulaRef>
                          <c15:sqref>'1. Pathway 1'!$D$266:$K$266</c15:sqref>
                        </c15:formulaRef>
                      </c:ext>
                    </c:extLst>
                    <c:numCache>
                      <c:formatCode>#,##0</c:formatCode>
                      <c:ptCount val="8"/>
                      <c:pt idx="0">
                        <c:v>1000</c:v>
                      </c:pt>
                      <c:pt idx="1">
                        <c:v>2000</c:v>
                      </c:pt>
                      <c:pt idx="2">
                        <c:v>3000</c:v>
                      </c:pt>
                      <c:pt idx="3">
                        <c:v>4000</c:v>
                      </c:pt>
                      <c:pt idx="4">
                        <c:v>5000</c:v>
                      </c:pt>
                      <c:pt idx="5">
                        <c:v>6000</c:v>
                      </c:pt>
                      <c:pt idx="6">
                        <c:v>7000</c:v>
                      </c:pt>
                      <c:pt idx="7">
                        <c:v>8000</c:v>
                      </c:pt>
                    </c:numCache>
                  </c:numRef>
                </c:xVal>
                <c:yVal>
                  <c:numRef>
                    <c:extLst xmlns:c15="http://schemas.microsoft.com/office/drawing/2012/chart">
                      <c:ext xmlns:c15="http://schemas.microsoft.com/office/drawing/2012/chart" uri="{02D57815-91ED-43cb-92C2-25804820EDAC}">
                        <c15:formulaRef>
                          <c15:sqref>'1. Pathway 1'!$D$268:$K$268</c15:sqref>
                        </c15:formulaRef>
                      </c:ext>
                    </c:extLst>
                    <c:numCache>
                      <c:formatCode>#,##0</c:formatCode>
                      <c:ptCount val="8"/>
                      <c:pt idx="0">
                        <c:v>19178.67976789672</c:v>
                      </c:pt>
                      <c:pt idx="1">
                        <c:v>10188.328647993305</c:v>
                      </c:pt>
                      <c:pt idx="2">
                        <c:v>7191.5449413588321</c:v>
                      </c:pt>
                      <c:pt idx="3">
                        <c:v>5693.1530880415958</c:v>
                      </c:pt>
                      <c:pt idx="4">
                        <c:v>4868.0590055681059</c:v>
                      </c:pt>
                      <c:pt idx="5">
                        <c:v>4319.6091192839685</c:v>
                      </c:pt>
                      <c:pt idx="6">
                        <c:v>3910.2652618014363</c:v>
                      </c:pt>
                      <c:pt idx="7">
                        <c:v>3611.578262438471</c:v>
                      </c:pt>
                    </c:numCache>
                  </c:numRef>
                </c:yVal>
                <c:smooth val="1"/>
                <c:extLst xmlns:c15="http://schemas.microsoft.com/office/drawing/2012/chart">
                  <c:ext xmlns:c16="http://schemas.microsoft.com/office/drawing/2014/chart" uri="{C3380CC4-5D6E-409C-BE32-E72D297353CC}">
                    <c16:uniqueId val="{00000002-C144-4E4D-97C7-9778C127AB22}"/>
                  </c:ext>
                </c:extLst>
              </c15:ser>
            </c15:filteredScatterSeries>
            <c15:filteredScatterSeries>
              <c15:ser>
                <c:idx val="2"/>
                <c:order val="2"/>
                <c:tx>
                  <c:v>Electricity price: €30/MWh</c:v>
                </c:tx>
                <c:spPr>
                  <a:ln w="19050" cap="rnd">
                    <a:solidFill>
                      <a:schemeClr val="accent3"/>
                    </a:solidFill>
                    <a:round/>
                  </a:ln>
                  <a:effectLst/>
                </c:spPr>
                <c:marker>
                  <c:symbol val="none"/>
                </c:marker>
                <c:xVal>
                  <c:numRef>
                    <c:extLst xmlns:c15="http://schemas.microsoft.com/office/drawing/2012/chart">
                      <c:ext xmlns:c15="http://schemas.microsoft.com/office/drawing/2012/chart" uri="{02D57815-91ED-43cb-92C2-25804820EDAC}">
                        <c15:formulaRef>
                          <c15:sqref>'1. Pathway 1'!$D$266:$K$266</c15:sqref>
                        </c15:formulaRef>
                      </c:ext>
                    </c:extLst>
                    <c:numCache>
                      <c:formatCode>#,##0</c:formatCode>
                      <c:ptCount val="8"/>
                      <c:pt idx="0">
                        <c:v>1000</c:v>
                      </c:pt>
                      <c:pt idx="1">
                        <c:v>2000</c:v>
                      </c:pt>
                      <c:pt idx="2">
                        <c:v>3000</c:v>
                      </c:pt>
                      <c:pt idx="3">
                        <c:v>4000</c:v>
                      </c:pt>
                      <c:pt idx="4">
                        <c:v>5000</c:v>
                      </c:pt>
                      <c:pt idx="5">
                        <c:v>6000</c:v>
                      </c:pt>
                      <c:pt idx="6">
                        <c:v>7000</c:v>
                      </c:pt>
                      <c:pt idx="7">
                        <c:v>8000</c:v>
                      </c:pt>
                    </c:numCache>
                  </c:numRef>
                </c:xVal>
                <c:yVal>
                  <c:numRef>
                    <c:extLst xmlns:c15="http://schemas.microsoft.com/office/drawing/2012/chart">
                      <c:ext xmlns:c15="http://schemas.microsoft.com/office/drawing/2012/chart" uri="{02D57815-91ED-43cb-92C2-25804820EDAC}">
                        <c15:formulaRef>
                          <c15:sqref>'1. Pathway 1'!$D$269:$K$269</c15:sqref>
                        </c15:formulaRef>
                      </c:ext>
                    </c:extLst>
                    <c:numCache>
                      <c:formatCode>#,##0</c:formatCode>
                      <c:ptCount val="8"/>
                      <c:pt idx="0">
                        <c:v>19769.241565649529</c:v>
                      </c:pt>
                      <c:pt idx="1">
                        <c:v>10778.890445746114</c:v>
                      </c:pt>
                      <c:pt idx="2">
                        <c:v>7782.1067391116412</c:v>
                      </c:pt>
                      <c:pt idx="3">
                        <c:v>6283.7148857944048</c:v>
                      </c:pt>
                      <c:pt idx="4">
                        <c:v>5458.620803320915</c:v>
                      </c:pt>
                      <c:pt idx="5">
                        <c:v>4910.1709170367776</c:v>
                      </c:pt>
                      <c:pt idx="6">
                        <c:v>4500.8270595542454</c:v>
                      </c:pt>
                      <c:pt idx="7">
                        <c:v>4202.1400601912792</c:v>
                      </c:pt>
                    </c:numCache>
                  </c:numRef>
                </c:yVal>
                <c:smooth val="1"/>
                <c:extLst xmlns:c15="http://schemas.microsoft.com/office/drawing/2012/chart">
                  <c:ext xmlns:c16="http://schemas.microsoft.com/office/drawing/2014/chart" uri="{C3380CC4-5D6E-409C-BE32-E72D297353CC}">
                    <c16:uniqueId val="{00000003-C144-4E4D-97C7-9778C127AB22}"/>
                  </c:ext>
                </c:extLst>
              </c15:ser>
            </c15:filteredScatterSeries>
          </c:ext>
        </c:extLst>
      </c:scatterChart>
      <c:valAx>
        <c:axId val="7393310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Operating Hours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39325648"/>
        <c:crosses val="autoZero"/>
        <c:crossBetween val="midCat"/>
      </c:valAx>
      <c:valAx>
        <c:axId val="739325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LCOH (€/ton)</a:t>
                </a:r>
              </a:p>
            </c:rich>
          </c:tx>
          <c:layout>
            <c:manualLayout>
              <c:xMode val="edge"/>
              <c:yMode val="edge"/>
              <c:x val="1.7885087048267766E-2"/>
              <c:y val="0.277462017194402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393310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Climate change impact breakdown</a:t>
            </a:r>
          </a:p>
        </c:rich>
      </c:tx>
      <c:layout>
        <c:manualLayout>
          <c:xMode val="edge"/>
          <c:yMode val="edge"/>
          <c:x val="0.16160717064517133"/>
          <c:y val="4.82443861184018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5C-47C9-836B-96D1F7EA2C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5C-47C9-836B-96D1F7EA2C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B5C-47C9-836B-96D1F7EA2CA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B5C-47C9-836B-96D1F7EA2CA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Pathway 1'!$B$214:$B$217</c:f>
              <c:strCache>
                <c:ptCount val="4"/>
                <c:pt idx="0">
                  <c:v>Electricity electrolyser</c:v>
                </c:pt>
                <c:pt idx="1">
                  <c:v>Water electrolyser</c:v>
                </c:pt>
                <c:pt idx="2">
                  <c:v>Electricity compressor</c:v>
                </c:pt>
                <c:pt idx="3">
                  <c:v>Oxygen production </c:v>
                </c:pt>
              </c:strCache>
            </c:strRef>
          </c:cat>
          <c:val>
            <c:numRef>
              <c:f>'1. Pathway 1'!$C$214:$C$217</c:f>
              <c:numCache>
                <c:formatCode>#,##0</c:formatCode>
                <c:ptCount val="4"/>
                <c:pt idx="0">
                  <c:v>13764.044943820225</c:v>
                </c:pt>
                <c:pt idx="1">
                  <c:v>2.9741966292134832</c:v>
                </c:pt>
                <c:pt idx="2">
                  <c:v>1000</c:v>
                </c:pt>
                <c:pt idx="3">
                  <c:v>-4100.0337078651701</c:v>
                </c:pt>
              </c:numCache>
            </c:numRef>
          </c:val>
          <c:extLst>
            <c:ext xmlns:c16="http://schemas.microsoft.com/office/drawing/2014/chart" uri="{C3380CC4-5D6E-409C-BE32-E72D297353CC}">
              <c16:uniqueId val="{00000014-2B5C-47C9-836B-96D1F7EA2CA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Climate change impact contributions</a:t>
            </a:r>
            <a:r>
              <a:rPr lang="nl-BE" baseline="0"/>
              <a:t> </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manualLayout>
          <c:layoutTarget val="inner"/>
          <c:xMode val="edge"/>
          <c:yMode val="edge"/>
          <c:x val="0.21647704751191815"/>
          <c:y val="0.17640903686087991"/>
          <c:w val="0.39623707750816861"/>
          <c:h val="0.72749089479153983"/>
        </c:manualLayout>
      </c:layout>
      <c:barChart>
        <c:barDir val="col"/>
        <c:grouping val="stacked"/>
        <c:varyColors val="0"/>
        <c:ser>
          <c:idx val="0"/>
          <c:order val="0"/>
          <c:tx>
            <c:strRef>
              <c:f>'1. Pathway 1'!$B$214</c:f>
              <c:strCache>
                <c:ptCount val="1"/>
                <c:pt idx="0">
                  <c:v>Electricity electrolyser</c:v>
                </c:pt>
              </c:strCache>
            </c:strRef>
          </c:tx>
          <c:spPr>
            <a:solidFill>
              <a:schemeClr val="accent1"/>
            </a:solidFill>
            <a:ln>
              <a:noFill/>
            </a:ln>
            <a:effectLst/>
          </c:spPr>
          <c:invertIfNegative val="0"/>
          <c:val>
            <c:numRef>
              <c:f>'1. Pathway 1'!$C$214</c:f>
              <c:numCache>
                <c:formatCode>#,##0</c:formatCode>
                <c:ptCount val="1"/>
                <c:pt idx="0">
                  <c:v>13764.044943820225</c:v>
                </c:pt>
              </c:numCache>
            </c:numRef>
          </c:val>
          <c:extLst>
            <c:ext xmlns:c16="http://schemas.microsoft.com/office/drawing/2014/chart" uri="{C3380CC4-5D6E-409C-BE32-E72D297353CC}">
              <c16:uniqueId val="{00000000-77A9-4022-B2DC-5B56FD010E86}"/>
            </c:ext>
          </c:extLst>
        </c:ser>
        <c:ser>
          <c:idx val="1"/>
          <c:order val="1"/>
          <c:tx>
            <c:strRef>
              <c:f>'1. Pathway 1'!$B$215</c:f>
              <c:strCache>
                <c:ptCount val="1"/>
                <c:pt idx="0">
                  <c:v>Water electrolyser</c:v>
                </c:pt>
              </c:strCache>
            </c:strRef>
          </c:tx>
          <c:spPr>
            <a:solidFill>
              <a:schemeClr val="accent2"/>
            </a:solidFill>
            <a:ln>
              <a:noFill/>
            </a:ln>
            <a:effectLst/>
          </c:spPr>
          <c:invertIfNegative val="0"/>
          <c:val>
            <c:numRef>
              <c:f>'1. Pathway 1'!$C$215</c:f>
              <c:numCache>
                <c:formatCode>#,##0</c:formatCode>
                <c:ptCount val="1"/>
                <c:pt idx="0">
                  <c:v>2.9741966292134832</c:v>
                </c:pt>
              </c:numCache>
            </c:numRef>
          </c:val>
          <c:extLst>
            <c:ext xmlns:c16="http://schemas.microsoft.com/office/drawing/2014/chart" uri="{C3380CC4-5D6E-409C-BE32-E72D297353CC}">
              <c16:uniqueId val="{00000001-77A9-4022-B2DC-5B56FD010E86}"/>
            </c:ext>
          </c:extLst>
        </c:ser>
        <c:ser>
          <c:idx val="2"/>
          <c:order val="2"/>
          <c:tx>
            <c:strRef>
              <c:f>'1. Pathway 1'!$B$216</c:f>
              <c:strCache>
                <c:ptCount val="1"/>
                <c:pt idx="0">
                  <c:v>Electricity compressor</c:v>
                </c:pt>
              </c:strCache>
            </c:strRef>
          </c:tx>
          <c:spPr>
            <a:solidFill>
              <a:schemeClr val="accent3"/>
            </a:solidFill>
            <a:ln>
              <a:noFill/>
            </a:ln>
            <a:effectLst/>
          </c:spPr>
          <c:invertIfNegative val="0"/>
          <c:val>
            <c:numRef>
              <c:f>'1. Pathway 1'!$C$216</c:f>
              <c:numCache>
                <c:formatCode>#,##0</c:formatCode>
                <c:ptCount val="1"/>
                <c:pt idx="0">
                  <c:v>1000</c:v>
                </c:pt>
              </c:numCache>
            </c:numRef>
          </c:val>
          <c:extLst>
            <c:ext xmlns:c16="http://schemas.microsoft.com/office/drawing/2014/chart" uri="{C3380CC4-5D6E-409C-BE32-E72D297353CC}">
              <c16:uniqueId val="{00000002-77A9-4022-B2DC-5B56FD010E86}"/>
            </c:ext>
          </c:extLst>
        </c:ser>
        <c:ser>
          <c:idx val="3"/>
          <c:order val="3"/>
          <c:tx>
            <c:strRef>
              <c:f>'1. Pathway 1'!$B$217</c:f>
              <c:strCache>
                <c:ptCount val="1"/>
                <c:pt idx="0">
                  <c:v>Oxygen production </c:v>
                </c:pt>
              </c:strCache>
            </c:strRef>
          </c:tx>
          <c:spPr>
            <a:solidFill>
              <a:schemeClr val="accent4"/>
            </a:solidFill>
            <a:ln>
              <a:noFill/>
            </a:ln>
            <a:effectLst/>
          </c:spPr>
          <c:invertIfNegative val="0"/>
          <c:val>
            <c:numRef>
              <c:f>'1. Pathway 1'!$C$217</c:f>
              <c:numCache>
                <c:formatCode>#,##0</c:formatCode>
                <c:ptCount val="1"/>
                <c:pt idx="0">
                  <c:v>-4100.0337078651701</c:v>
                </c:pt>
              </c:numCache>
            </c:numRef>
          </c:val>
          <c:extLst>
            <c:ext xmlns:c16="http://schemas.microsoft.com/office/drawing/2014/chart" uri="{C3380CC4-5D6E-409C-BE32-E72D297353CC}">
              <c16:uniqueId val="{00000003-77A9-4022-B2DC-5B56FD010E86}"/>
            </c:ext>
          </c:extLst>
        </c:ser>
        <c:dLbls>
          <c:showLegendKey val="0"/>
          <c:showVal val="0"/>
          <c:showCatName val="0"/>
          <c:showSerName val="0"/>
          <c:showPercent val="0"/>
          <c:showBubbleSize val="0"/>
        </c:dLbls>
        <c:gapWidth val="150"/>
        <c:overlap val="100"/>
        <c:axId val="512335184"/>
        <c:axId val="512335512"/>
      </c:barChart>
      <c:catAx>
        <c:axId val="51233518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Climate change impact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General" sourceLinked="1"/>
        <c:majorTickMark val="none"/>
        <c:minorTickMark val="none"/>
        <c:tickLblPos val="nextTo"/>
        <c:crossAx val="512335512"/>
        <c:crosses val="autoZero"/>
        <c:auto val="1"/>
        <c:lblAlgn val="ctr"/>
        <c:lblOffset val="100"/>
        <c:noMultiLvlLbl val="0"/>
      </c:catAx>
      <c:valAx>
        <c:axId val="512335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kg CO</a:t>
                </a:r>
                <a:r>
                  <a:rPr lang="nl-BE" baseline="-25000"/>
                  <a:t>2eq</a:t>
                </a:r>
                <a:r>
                  <a:rPr lang="nl-BE"/>
                  <a:t>/ton H</a:t>
                </a:r>
                <a:r>
                  <a:rPr lang="nl-BE" baseline="-25000"/>
                  <a:t>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5123351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931846019247599"/>
          <c:y val="0.19999198016914552"/>
          <c:w val="0.56625787401574801"/>
          <c:h val="0.7435032079323418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Pathway 1'!$B$241:$B$245</c:f>
              <c:strCache>
                <c:ptCount val="5"/>
                <c:pt idx="0">
                  <c:v>Energy electrolyser</c:v>
                </c:pt>
                <c:pt idx="1">
                  <c:v>Electricity price</c:v>
                </c:pt>
                <c:pt idx="2">
                  <c:v>Operating hours</c:v>
                </c:pt>
                <c:pt idx="3">
                  <c:v>Maintenance and repair cost (%)</c:v>
                </c:pt>
                <c:pt idx="4">
                  <c:v>Energy DSP</c:v>
                </c:pt>
              </c:strCache>
            </c:strRef>
          </c:cat>
          <c:val>
            <c:numRef>
              <c:f>'1. Pathway 1'!$C$241:$C$245</c:f>
              <c:numCache>
                <c:formatCode>0.0%</c:formatCode>
                <c:ptCount val="5"/>
                <c:pt idx="0">
                  <c:v>0.55375458054236804</c:v>
                </c:pt>
                <c:pt idx="1">
                  <c:v>0.408343163536454</c:v>
                </c:pt>
                <c:pt idx="2">
                  <c:v>3.0841028313476401E-2</c:v>
                </c:pt>
                <c:pt idx="3">
                  <c:v>5.5919323652059002E-3</c:v>
                </c:pt>
                <c:pt idx="4">
                  <c:v>9.6176116642400402E-4</c:v>
                </c:pt>
              </c:numCache>
            </c:numRef>
          </c:val>
          <c:extLst>
            <c:ext xmlns:c16="http://schemas.microsoft.com/office/drawing/2014/chart" uri="{C3380CC4-5D6E-409C-BE32-E72D297353CC}">
              <c16:uniqueId val="{00000000-3E91-44DE-94B3-0E964C801D3A}"/>
            </c:ext>
          </c:extLst>
        </c:ser>
        <c:dLbls>
          <c:showLegendKey val="0"/>
          <c:showVal val="0"/>
          <c:showCatName val="0"/>
          <c:showSerName val="0"/>
          <c:showPercent val="0"/>
          <c:showBubbleSize val="0"/>
        </c:dLbls>
        <c:gapWidth val="182"/>
        <c:axId val="1983645840"/>
        <c:axId val="1983644176"/>
      </c:barChart>
      <c:catAx>
        <c:axId val="19836458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983644176"/>
        <c:crosses val="autoZero"/>
        <c:auto val="1"/>
        <c:lblAlgn val="ctr"/>
        <c:lblOffset val="100"/>
        <c:noMultiLvlLbl val="0"/>
      </c:catAx>
      <c:valAx>
        <c:axId val="1983644176"/>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nl-BE" b="1"/>
                  <a:t>Contribution to variance in</a:t>
                </a:r>
                <a:r>
                  <a:rPr lang="nl-BE" b="1" baseline="0"/>
                  <a:t> LCOP (%)</a:t>
                </a:r>
                <a:endParaRPr lang="nl-BE" b="1"/>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B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983645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Cost breakdown [€/ton H</a:t>
            </a:r>
            <a:r>
              <a:rPr lang="en-US" sz="1400" b="0" i="0" u="none" strike="noStrike" baseline="-25000">
                <a:solidFill>
                  <a:sysClr val="windowText" lastClr="000000">
                    <a:lumMod val="65000"/>
                    <a:lumOff val="35000"/>
                  </a:sysClr>
                </a:solidFill>
                <a:latin typeface="Calibri" panose="020F0502020204030204"/>
              </a:rPr>
              <a:t>2</a:t>
            </a:r>
            <a:r>
              <a:rPr lang="en-US" sz="1400" b="0" i="0" u="none" strike="noStrike" baseline="0">
                <a:solidFill>
                  <a:sysClr val="windowText" lastClr="000000">
                    <a:lumMod val="65000"/>
                    <a:lumOff val="35000"/>
                  </a:sysClr>
                </a:solidFill>
                <a:latin typeface="Calibri" panose="020F0502020204030204"/>
              </a:rPr>
              <a:t>]</a:t>
            </a:r>
          </a:p>
        </cx:rich>
      </cx:tx>
    </cx:title>
    <cx:plotArea>
      <cx:plotAreaRegion>
        <cx:series layoutId="waterfall" uniqueId="{4D305D8B-BE48-4AD4-896C-18F5CDED10D4}">
          <cx:dataLabels pos="outEnd">
            <cx:visibility seriesName="0" categoryName="0" value="1"/>
          </cx:dataLabels>
          <cx:dataId val="0"/>
          <cx:layoutPr>
            <cx:subtotals>
              <cx:idx val="11"/>
            </cx:subtotals>
          </cx:layoutPr>
        </cx:series>
      </cx:plotAreaRegion>
      <cx:axis id="0">
        <cx:catScaling gapWidth="0.5"/>
        <cx:tickLabels/>
      </cx:axis>
      <cx:axis id="1">
        <cx:valScaling/>
        <cx:majorGridlines/>
        <cx:tickLabels/>
      </cx:axis>
    </cx:plotArea>
    <cx:legend pos="t"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1. Pathway 1'!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Data - environmental'!A1"/><Relationship Id="rId17" Type="http://schemas.openxmlformats.org/officeDocument/2006/relationships/chart" Target="../charts/chart1.xml"/><Relationship Id="rId2" Type="http://schemas.openxmlformats.org/officeDocument/2006/relationships/image" Target="../media/image2.png"/><Relationship Id="rId16" Type="http://schemas.openxmlformats.org/officeDocument/2006/relationships/hyperlink" Target="#'4. Pathway 4'!A1"/><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Data - economic'!A1"/><Relationship Id="rId5" Type="http://schemas.openxmlformats.org/officeDocument/2006/relationships/image" Target="../media/image5.png"/><Relationship Id="rId15" Type="http://schemas.openxmlformats.org/officeDocument/2006/relationships/hyperlink" Target="#'3. Pathway 3'!A1"/><Relationship Id="rId10" Type="http://schemas.openxmlformats.org/officeDocument/2006/relationships/hyperlink" Target="#'Data - technical'!A1"/><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hyperlink" Target="#'2. Pathway 2'!A1"/></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3.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5.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s>
</file>

<file path=xl/drawings/_rels/drawing6.xml.rels><?xml version="1.0" encoding="UTF-8" standalone="yes"?>
<Relationships xmlns="http://schemas.openxmlformats.org/package/2006/relationships"><Relationship Id="rId8" Type="http://schemas.openxmlformats.org/officeDocument/2006/relationships/hyperlink" Target="#'3. Pathway 3'!A1"/><Relationship Id="rId13" Type="http://schemas.openxmlformats.org/officeDocument/2006/relationships/image" Target="../media/image4.png"/><Relationship Id="rId3" Type="http://schemas.openxmlformats.org/officeDocument/2006/relationships/hyperlink" Target="#'Data - economic'!A1"/><Relationship Id="rId7" Type="http://schemas.openxmlformats.org/officeDocument/2006/relationships/hyperlink" Target="#'2. Pathway 2'!A1"/><Relationship Id="rId12" Type="http://schemas.openxmlformats.org/officeDocument/2006/relationships/image" Target="../media/image3.png"/><Relationship Id="rId17" Type="http://schemas.openxmlformats.org/officeDocument/2006/relationships/image" Target="../media/image8.png"/><Relationship Id="rId2" Type="http://schemas.openxmlformats.org/officeDocument/2006/relationships/hyperlink" Target="#'Data - technical'!A1"/><Relationship Id="rId16" Type="http://schemas.openxmlformats.org/officeDocument/2006/relationships/image" Target="../media/image7.png"/><Relationship Id="rId1" Type="http://schemas.openxmlformats.org/officeDocument/2006/relationships/image" Target="../media/image9.JPG"/><Relationship Id="rId6" Type="http://schemas.openxmlformats.org/officeDocument/2006/relationships/hyperlink" Target="#'1. Pathway 1'!A1"/><Relationship Id="rId11" Type="http://schemas.openxmlformats.org/officeDocument/2006/relationships/image" Target="../media/image2.png"/><Relationship Id="rId5" Type="http://schemas.openxmlformats.org/officeDocument/2006/relationships/image" Target="../media/image10.png"/><Relationship Id="rId15" Type="http://schemas.openxmlformats.org/officeDocument/2006/relationships/image" Target="../media/image6.jpeg"/><Relationship Id="rId10" Type="http://schemas.openxmlformats.org/officeDocument/2006/relationships/image" Target="../media/image1.png"/><Relationship Id="rId4" Type="http://schemas.openxmlformats.org/officeDocument/2006/relationships/hyperlink" Target="#'Data - environmental'!A1"/><Relationship Id="rId9" Type="http://schemas.openxmlformats.org/officeDocument/2006/relationships/hyperlink" Target="#'4. Pathway 4'!A1"/><Relationship Id="rId14" Type="http://schemas.openxmlformats.org/officeDocument/2006/relationships/image" Target="../media/image5.png"/></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6.png"/><Relationship Id="rId18" Type="http://schemas.openxmlformats.org/officeDocument/2006/relationships/hyperlink" Target="#'4. Pathway 4'!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4.png"/><Relationship Id="rId17" Type="http://schemas.openxmlformats.org/officeDocument/2006/relationships/hyperlink" Target="#'3. Pathway 3'!A1"/><Relationship Id="rId2" Type="http://schemas.openxmlformats.org/officeDocument/2006/relationships/image" Target="../media/image2.png"/><Relationship Id="rId16" Type="http://schemas.openxmlformats.org/officeDocument/2006/relationships/hyperlink" Target="#'2. Pathway 2'!A1"/><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1. Pathway 1'!A1"/><Relationship Id="rId5" Type="http://schemas.openxmlformats.org/officeDocument/2006/relationships/image" Target="../media/image5.png"/><Relationship Id="rId15" Type="http://schemas.openxmlformats.org/officeDocument/2006/relationships/image" Target="../media/image18.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7.png"/></Relationships>
</file>

<file path=xl/drawings/_rels/drawing8.xml.rels><?xml version="1.0" encoding="UTF-8" standalone="yes"?>
<Relationships xmlns="http://schemas.openxmlformats.org/package/2006/relationships"><Relationship Id="rId8" Type="http://schemas.openxmlformats.org/officeDocument/2006/relationships/image" Target="../media/image19.png"/><Relationship Id="rId13" Type="http://schemas.microsoft.com/office/2007/relationships/hdphoto" Target="../media/hdphoto1.wdp"/><Relationship Id="rId18" Type="http://schemas.openxmlformats.org/officeDocument/2006/relationships/hyperlink" Target="#'3. Pathway 3'!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6.png"/><Relationship Id="rId17" Type="http://schemas.openxmlformats.org/officeDocument/2006/relationships/hyperlink" Target="#'2. Pathway 2'!A1"/><Relationship Id="rId2" Type="http://schemas.openxmlformats.org/officeDocument/2006/relationships/image" Target="../media/image2.png"/><Relationship Id="rId16" Type="http://schemas.openxmlformats.org/officeDocument/2006/relationships/hyperlink" Target="#'1. Pathway 1'!A1"/><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image" Target="../media/image17.png"/><Relationship Id="rId10" Type="http://schemas.openxmlformats.org/officeDocument/2006/relationships/image" Target="../media/image10.png"/><Relationship Id="rId19" Type="http://schemas.openxmlformats.org/officeDocument/2006/relationships/hyperlink" Target="#'4. Pathway 4'!A1"/><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8.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2. Pathway 2'!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1. Pathway 1'!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hyperlink" Target="#'4. Pathway 4'!A1"/><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hyperlink" Target="#'3. Pathway 3'!A1"/></Relationships>
</file>

<file path=xl/drawings/_rels/drawing10.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chart" Target="../charts/chart3.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1. Pathway'!A1"/><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G"/></Relationships>
</file>

<file path=xl/drawings/_rels/drawing1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Pathway definition and results'!A1"/><Relationship Id="rId18" Type="http://schemas.openxmlformats.org/officeDocument/2006/relationships/image" Target="../media/image14.png"/><Relationship Id="rId3" Type="http://schemas.openxmlformats.org/officeDocument/2006/relationships/image" Target="../media/image3.png"/><Relationship Id="rId21" Type="http://schemas.openxmlformats.org/officeDocument/2006/relationships/chart" Target="../charts/chart5.xml"/><Relationship Id="rId7" Type="http://schemas.openxmlformats.org/officeDocument/2006/relationships/image" Target="../media/image7.png"/><Relationship Id="rId12" Type="http://schemas.openxmlformats.org/officeDocument/2006/relationships/hyperlink" Target="#'Data - environmental'!A1"/><Relationship Id="rId17" Type="http://schemas.openxmlformats.org/officeDocument/2006/relationships/hyperlink" Target="#sc1_environmental"/><Relationship Id="rId25" Type="http://schemas.openxmlformats.org/officeDocument/2006/relationships/chart" Target="../charts/chart8.xml"/><Relationship Id="rId2" Type="http://schemas.openxmlformats.org/officeDocument/2006/relationships/image" Target="../media/image2.png"/><Relationship Id="rId16" Type="http://schemas.openxmlformats.org/officeDocument/2006/relationships/hyperlink" Target="#sc1_economic"/><Relationship Id="rId20" Type="http://schemas.openxmlformats.org/officeDocument/2006/relationships/chart" Target="../charts/chart4.xml"/><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Data - economic'!A1"/><Relationship Id="rId24" Type="http://schemas.openxmlformats.org/officeDocument/2006/relationships/chart" Target="../charts/chart7.xml"/><Relationship Id="rId5" Type="http://schemas.openxmlformats.org/officeDocument/2006/relationships/image" Target="../media/image5.png"/><Relationship Id="rId15" Type="http://schemas.openxmlformats.org/officeDocument/2006/relationships/hyperlink" Target="#sc1_technical"/><Relationship Id="rId23" Type="http://schemas.microsoft.com/office/2014/relationships/chartEx" Target="../charts/chartEx1.xml"/><Relationship Id="rId10" Type="http://schemas.openxmlformats.org/officeDocument/2006/relationships/hyperlink" Target="#'Data - technical'!A1"/><Relationship Id="rId19" Type="http://schemas.openxmlformats.org/officeDocument/2006/relationships/hyperlink" Target="#sc1_sensitivity"/><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0.png"/><Relationship Id="rId22"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hyperlink" Target="#'Pathway definition and results'!A1"/><Relationship Id="rId18" Type="http://schemas.openxmlformats.org/officeDocument/2006/relationships/image" Target="../media/image14.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Data - environmental'!A1"/><Relationship Id="rId17" Type="http://schemas.openxmlformats.org/officeDocument/2006/relationships/hyperlink" Target="#sc1_environmental"/><Relationship Id="rId2" Type="http://schemas.openxmlformats.org/officeDocument/2006/relationships/image" Target="../media/image2.png"/><Relationship Id="rId16" Type="http://schemas.openxmlformats.org/officeDocument/2006/relationships/hyperlink" Target="#sc1_economic"/><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Data - economic'!A1"/><Relationship Id="rId5" Type="http://schemas.openxmlformats.org/officeDocument/2006/relationships/image" Target="../media/image5.png"/><Relationship Id="rId15" Type="http://schemas.openxmlformats.org/officeDocument/2006/relationships/hyperlink" Target="#sc1_technical"/><Relationship Id="rId10" Type="http://schemas.openxmlformats.org/officeDocument/2006/relationships/hyperlink" Target="#'Data - technical'!A1"/><Relationship Id="rId19" Type="http://schemas.openxmlformats.org/officeDocument/2006/relationships/hyperlink" Target="#sc1_sensitivity"/><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Pathway definition and results'!A1"/><Relationship Id="rId18" Type="http://schemas.openxmlformats.org/officeDocument/2006/relationships/image" Target="../media/image14.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Data - environmental'!A1"/><Relationship Id="rId17" Type="http://schemas.openxmlformats.org/officeDocument/2006/relationships/hyperlink" Target="#sc1_environmental"/><Relationship Id="rId2" Type="http://schemas.openxmlformats.org/officeDocument/2006/relationships/image" Target="../media/image2.png"/><Relationship Id="rId16" Type="http://schemas.openxmlformats.org/officeDocument/2006/relationships/hyperlink" Target="#sc1_economic"/><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Data - economic'!A1"/><Relationship Id="rId5" Type="http://schemas.openxmlformats.org/officeDocument/2006/relationships/image" Target="../media/image5.png"/><Relationship Id="rId15" Type="http://schemas.openxmlformats.org/officeDocument/2006/relationships/hyperlink" Target="#sc1_technical"/><Relationship Id="rId10" Type="http://schemas.openxmlformats.org/officeDocument/2006/relationships/hyperlink" Target="#'Data - technical'!A1"/><Relationship Id="rId19" Type="http://schemas.openxmlformats.org/officeDocument/2006/relationships/hyperlink" Target="#sc1_sensitivity"/><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hyperlink" Target="#'Pathway definition and results'!A1"/><Relationship Id="rId18" Type="http://schemas.openxmlformats.org/officeDocument/2006/relationships/image" Target="../media/image14.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Data - environmental'!A1"/><Relationship Id="rId17" Type="http://schemas.openxmlformats.org/officeDocument/2006/relationships/hyperlink" Target="#sc1_environmental"/><Relationship Id="rId2" Type="http://schemas.openxmlformats.org/officeDocument/2006/relationships/image" Target="../media/image2.png"/><Relationship Id="rId16" Type="http://schemas.openxmlformats.org/officeDocument/2006/relationships/hyperlink" Target="#sc1_economic"/><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Data - economic'!A1"/><Relationship Id="rId5" Type="http://schemas.openxmlformats.org/officeDocument/2006/relationships/image" Target="../media/image5.png"/><Relationship Id="rId15" Type="http://schemas.openxmlformats.org/officeDocument/2006/relationships/hyperlink" Target="#sc1_technical"/><Relationship Id="rId10" Type="http://schemas.openxmlformats.org/officeDocument/2006/relationships/hyperlink" Target="#'Data - technical'!A1"/><Relationship Id="rId19" Type="http://schemas.openxmlformats.org/officeDocument/2006/relationships/hyperlink" Target="#sc1_sensitivity"/><Relationship Id="rId4" Type="http://schemas.openxmlformats.org/officeDocument/2006/relationships/image" Target="../media/image4.png"/><Relationship Id="rId9" Type="http://schemas.openxmlformats.org/officeDocument/2006/relationships/image" Target="../media/image9.JPG"/><Relationship Id="rId14"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81915</xdr:rowOff>
    </xdr:from>
    <xdr:to>
      <xdr:col>14</xdr:col>
      <xdr:colOff>483235</xdr:colOff>
      <xdr:row>0</xdr:row>
      <xdr:rowOff>1759797</xdr:rowOff>
    </xdr:to>
    <xdr:grpSp>
      <xdr:nvGrpSpPr>
        <xdr:cNvPr id="48" name="Group 47">
          <a:extLst>
            <a:ext uri="{FF2B5EF4-FFF2-40B4-BE49-F238E27FC236}">
              <a16:creationId xmlns:a16="http://schemas.microsoft.com/office/drawing/2014/main" id="{A946C32D-8FF6-4C50-9AEB-4E4CF317F222}"/>
            </a:ext>
          </a:extLst>
        </xdr:cNvPr>
        <xdr:cNvGrpSpPr/>
      </xdr:nvGrpSpPr>
      <xdr:grpSpPr>
        <a:xfrm>
          <a:off x="255270" y="83820"/>
          <a:ext cx="16454755" cy="1677882"/>
          <a:chOff x="171450" y="91441"/>
          <a:chExt cx="16462375" cy="1683597"/>
        </a:xfrm>
      </xdr:grpSpPr>
      <xdr:pic>
        <xdr:nvPicPr>
          <xdr:cNvPr id="49" name="Picture 48">
            <a:extLst>
              <a:ext uri="{FF2B5EF4-FFF2-40B4-BE49-F238E27FC236}">
                <a16:creationId xmlns:a16="http://schemas.microsoft.com/office/drawing/2014/main" id="{52B7C32D-BEB1-4B27-9681-E5D9953D9F77}"/>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50" name="Group 49">
            <a:extLst>
              <a:ext uri="{FF2B5EF4-FFF2-40B4-BE49-F238E27FC236}">
                <a16:creationId xmlns:a16="http://schemas.microsoft.com/office/drawing/2014/main" id="{0150C5FF-7353-4911-91E3-B9C68F93E9B0}"/>
              </a:ext>
            </a:extLst>
          </xdr:cNvPr>
          <xdr:cNvGrpSpPr/>
        </xdr:nvGrpSpPr>
        <xdr:grpSpPr>
          <a:xfrm>
            <a:off x="167640" y="95251"/>
            <a:ext cx="16462375" cy="1675977"/>
            <a:chOff x="167640" y="95251"/>
            <a:chExt cx="16462375" cy="1675977"/>
          </a:xfrm>
        </xdr:grpSpPr>
        <xdr:grpSp>
          <xdr:nvGrpSpPr>
            <xdr:cNvPr id="51" name="Group 50">
              <a:extLst>
                <a:ext uri="{FF2B5EF4-FFF2-40B4-BE49-F238E27FC236}">
                  <a16:creationId xmlns:a16="http://schemas.microsoft.com/office/drawing/2014/main" id="{C7AA73A5-9FBD-482E-A43A-3D2A83919EBE}"/>
                </a:ext>
              </a:extLst>
            </xdr:cNvPr>
            <xdr:cNvGrpSpPr/>
          </xdr:nvGrpSpPr>
          <xdr:grpSpPr>
            <a:xfrm>
              <a:off x="171450" y="91441"/>
              <a:ext cx="16462375" cy="1683597"/>
              <a:chOff x="171449" y="38100"/>
              <a:chExt cx="16659225" cy="1704975"/>
            </a:xfrm>
          </xdr:grpSpPr>
          <xdr:grpSp>
            <xdr:nvGrpSpPr>
              <xdr:cNvPr id="53" name="Group 52">
                <a:extLst>
                  <a:ext uri="{FF2B5EF4-FFF2-40B4-BE49-F238E27FC236}">
                    <a16:creationId xmlns:a16="http://schemas.microsoft.com/office/drawing/2014/main" id="{5D6DE229-0714-4DE3-AF67-7E220819322C}"/>
                  </a:ext>
                </a:extLst>
              </xdr:cNvPr>
              <xdr:cNvGrpSpPr/>
            </xdr:nvGrpSpPr>
            <xdr:grpSpPr>
              <a:xfrm>
                <a:off x="171449" y="38100"/>
                <a:ext cx="16659225" cy="1704975"/>
                <a:chOff x="171449" y="38100"/>
                <a:chExt cx="16659225" cy="1704975"/>
              </a:xfrm>
            </xdr:grpSpPr>
            <xdr:pic>
              <xdr:nvPicPr>
                <xdr:cNvPr id="56" name="Picture 55" descr="catalisti.be">
                  <a:extLst>
                    <a:ext uri="{FF2B5EF4-FFF2-40B4-BE49-F238E27FC236}">
                      <a16:creationId xmlns:a16="http://schemas.microsoft.com/office/drawing/2014/main" id="{1A22564C-6AED-4DB3-ADD8-86B4766C23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7" name="Rectangle 56">
                  <a:extLst>
                    <a:ext uri="{FF2B5EF4-FFF2-40B4-BE49-F238E27FC236}">
                      <a16:creationId xmlns:a16="http://schemas.microsoft.com/office/drawing/2014/main" id="{793A025A-14F2-4284-B2FE-7958ADA46985}"/>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58" name="Rectangle: Rounded Corners 57">
                  <a:extLst>
                    <a:ext uri="{FF2B5EF4-FFF2-40B4-BE49-F238E27FC236}">
                      <a16:creationId xmlns:a16="http://schemas.microsoft.com/office/drawing/2014/main" id="{2B59D031-3DB3-4B80-872C-16D6B8845DB8}"/>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59" name="Picture 58">
                  <a:extLst>
                    <a:ext uri="{FF2B5EF4-FFF2-40B4-BE49-F238E27FC236}">
                      <a16:creationId xmlns:a16="http://schemas.microsoft.com/office/drawing/2014/main" id="{5175CEBF-93CB-4517-AB7F-88D9CEDA64E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60" name="Picture 59">
                  <a:extLst>
                    <a:ext uri="{FF2B5EF4-FFF2-40B4-BE49-F238E27FC236}">
                      <a16:creationId xmlns:a16="http://schemas.microsoft.com/office/drawing/2014/main" id="{C606A9B3-CA74-4E8D-A8FB-ECD6796C917F}"/>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61" name="Picture 60">
                  <a:extLst>
                    <a:ext uri="{FF2B5EF4-FFF2-40B4-BE49-F238E27FC236}">
                      <a16:creationId xmlns:a16="http://schemas.microsoft.com/office/drawing/2014/main" id="{AADBB6BB-D3D5-4306-968D-A260052514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62" name="Picture 61">
                  <a:extLst>
                    <a:ext uri="{FF2B5EF4-FFF2-40B4-BE49-F238E27FC236}">
                      <a16:creationId xmlns:a16="http://schemas.microsoft.com/office/drawing/2014/main" id="{2E96F14A-1EFC-47A9-87BE-F8700EC7E8FD}"/>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4" name="Picture 53">
                <a:extLst>
                  <a:ext uri="{FF2B5EF4-FFF2-40B4-BE49-F238E27FC236}">
                    <a16:creationId xmlns:a16="http://schemas.microsoft.com/office/drawing/2014/main" id="{6FAD20AA-E7F1-4625-8669-35C9B43E0F3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55" name="TextBox 54">
                <a:extLst>
                  <a:ext uri="{FF2B5EF4-FFF2-40B4-BE49-F238E27FC236}">
                    <a16:creationId xmlns:a16="http://schemas.microsoft.com/office/drawing/2014/main" id="{E3D0263B-596A-4139-929D-9BA0A671A0E2}"/>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52" name="Picture 51">
              <a:extLst>
                <a:ext uri="{FF2B5EF4-FFF2-40B4-BE49-F238E27FC236}">
                  <a16:creationId xmlns:a16="http://schemas.microsoft.com/office/drawing/2014/main" id="{14372D06-CD51-424E-81E8-F2E9A56AEB0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1007745</xdr:colOff>
      <xdr:row>4</xdr:row>
      <xdr:rowOff>228600</xdr:rowOff>
    </xdr:from>
    <xdr:to>
      <xdr:col>0</xdr:col>
      <xdr:colOff>1617345</xdr:colOff>
      <xdr:row>6</xdr:row>
      <xdr:rowOff>396240</xdr:rowOff>
    </xdr:to>
    <xdr:grpSp>
      <xdr:nvGrpSpPr>
        <xdr:cNvPr id="15" name="Group 14">
          <a:extLst>
            <a:ext uri="{FF2B5EF4-FFF2-40B4-BE49-F238E27FC236}">
              <a16:creationId xmlns:a16="http://schemas.microsoft.com/office/drawing/2014/main" id="{00000000-0008-0000-0000-00000F000000}"/>
            </a:ext>
          </a:extLst>
        </xdr:cNvPr>
        <xdr:cNvGrpSpPr/>
      </xdr:nvGrpSpPr>
      <xdr:grpSpPr>
        <a:xfrm>
          <a:off x="1011555" y="2486025"/>
          <a:ext cx="609600" cy="666750"/>
          <a:chOff x="13464540" y="68580"/>
          <a:chExt cx="609600" cy="662940"/>
        </a:xfrm>
      </xdr:grpSpPr>
      <xdr:pic macro="[0]!Next_worksheet">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7" name="TextBox 16">
            <a:extLst>
              <a:ext uri="{FF2B5EF4-FFF2-40B4-BE49-F238E27FC236}">
                <a16:creationId xmlns:a16="http://schemas.microsoft.com/office/drawing/2014/main" id="{00000000-0008-0000-0000-000011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oneCell">
    <xdr:from>
      <xdr:col>1</xdr:col>
      <xdr:colOff>1504950</xdr:colOff>
      <xdr:row>3</xdr:row>
      <xdr:rowOff>133350</xdr:rowOff>
    </xdr:from>
    <xdr:to>
      <xdr:col>1</xdr:col>
      <xdr:colOff>1712232</xdr:colOff>
      <xdr:row>4</xdr:row>
      <xdr:rowOff>191660</xdr:rowOff>
    </xdr:to>
    <xdr:pic macro="[0]!Introduction">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0"/>
        <a:stretch>
          <a:fillRect/>
        </a:stretch>
      </xdr:blipFill>
      <xdr:spPr>
        <a:xfrm>
          <a:off x="3552825" y="2247900"/>
          <a:ext cx="207282" cy="201185"/>
        </a:xfrm>
        <a:prstGeom prst="rect">
          <a:avLst/>
        </a:prstGeom>
      </xdr:spPr>
    </xdr:pic>
    <xdr:clientData/>
  </xdr:twoCellAnchor>
  <xdr:twoCellAnchor editAs="oneCell">
    <xdr:from>
      <xdr:col>0</xdr:col>
      <xdr:colOff>514350</xdr:colOff>
      <xdr:row>52</xdr:row>
      <xdr:rowOff>123825</xdr:rowOff>
    </xdr:from>
    <xdr:to>
      <xdr:col>0</xdr:col>
      <xdr:colOff>1428750</xdr:colOff>
      <xdr:row>53</xdr:row>
      <xdr:rowOff>702945</xdr:rowOff>
    </xdr:to>
    <xdr:grpSp>
      <xdr:nvGrpSpPr>
        <xdr:cNvPr id="18" name="Group 17">
          <a:extLst>
            <a:ext uri="{FF2B5EF4-FFF2-40B4-BE49-F238E27FC236}">
              <a16:creationId xmlns:a16="http://schemas.microsoft.com/office/drawing/2014/main" id="{00000000-0008-0000-0000-000012000000}"/>
            </a:ext>
          </a:extLst>
        </xdr:cNvPr>
        <xdr:cNvGrpSpPr/>
      </xdr:nvGrpSpPr>
      <xdr:grpSpPr>
        <a:xfrm>
          <a:off x="510540" y="16546830"/>
          <a:ext cx="914400" cy="723900"/>
          <a:chOff x="12771120" y="8145780"/>
          <a:chExt cx="906780" cy="739140"/>
        </a:xfrm>
      </xdr:grpSpPr>
      <xdr:pic macro="[0]!Top_of_page">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21" name="TextBox 20">
            <a:extLst>
              <a:ext uri="{FF2B5EF4-FFF2-40B4-BE49-F238E27FC236}">
                <a16:creationId xmlns:a16="http://schemas.microsoft.com/office/drawing/2014/main" id="{00000000-0008-0000-0000-000015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269451</xdr:colOff>
      <xdr:row>0</xdr:row>
      <xdr:rowOff>85724</xdr:rowOff>
    </xdr:from>
    <xdr:to>
      <xdr:col>10</xdr:col>
      <xdr:colOff>1916006</xdr:colOff>
      <xdr:row>0</xdr:row>
      <xdr:rowOff>1775036</xdr:rowOff>
    </xdr:to>
    <xdr:grpSp>
      <xdr:nvGrpSpPr>
        <xdr:cNvPr id="47" name="Group 46">
          <a:extLst>
            <a:ext uri="{FF2B5EF4-FFF2-40B4-BE49-F238E27FC236}">
              <a16:creationId xmlns:a16="http://schemas.microsoft.com/office/drawing/2014/main" id="{00ACDECF-AC85-4265-B503-A0BAA5E4A62E}"/>
            </a:ext>
          </a:extLst>
        </xdr:cNvPr>
        <xdr:cNvGrpSpPr/>
      </xdr:nvGrpSpPr>
      <xdr:grpSpPr>
        <a:xfrm>
          <a:off x="269451" y="87629"/>
          <a:ext cx="16469360" cy="1683597"/>
          <a:chOff x="171450" y="91441"/>
          <a:chExt cx="16462375" cy="1683597"/>
        </a:xfrm>
      </xdr:grpSpPr>
      <xdr:pic>
        <xdr:nvPicPr>
          <xdr:cNvPr id="48" name="Picture 47">
            <a:extLst>
              <a:ext uri="{FF2B5EF4-FFF2-40B4-BE49-F238E27FC236}">
                <a16:creationId xmlns:a16="http://schemas.microsoft.com/office/drawing/2014/main" id="{6B03983A-6C53-4796-9805-76E61AD49428}"/>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49" name="Group 48">
            <a:extLst>
              <a:ext uri="{FF2B5EF4-FFF2-40B4-BE49-F238E27FC236}">
                <a16:creationId xmlns:a16="http://schemas.microsoft.com/office/drawing/2014/main" id="{F5D09780-7699-46B1-A4FA-7D34853C5E05}"/>
              </a:ext>
            </a:extLst>
          </xdr:cNvPr>
          <xdr:cNvGrpSpPr/>
        </xdr:nvGrpSpPr>
        <xdr:grpSpPr>
          <a:xfrm>
            <a:off x="167640" y="95251"/>
            <a:ext cx="16462375" cy="1675977"/>
            <a:chOff x="167640" y="95251"/>
            <a:chExt cx="16462375" cy="1675977"/>
          </a:xfrm>
        </xdr:grpSpPr>
        <xdr:grpSp>
          <xdr:nvGrpSpPr>
            <xdr:cNvPr id="50" name="Group 49">
              <a:extLst>
                <a:ext uri="{FF2B5EF4-FFF2-40B4-BE49-F238E27FC236}">
                  <a16:creationId xmlns:a16="http://schemas.microsoft.com/office/drawing/2014/main" id="{E6399BB0-4BD9-4AE9-BC1F-0236485E760F}"/>
                </a:ext>
              </a:extLst>
            </xdr:cNvPr>
            <xdr:cNvGrpSpPr/>
          </xdr:nvGrpSpPr>
          <xdr:grpSpPr>
            <a:xfrm>
              <a:off x="171450" y="91441"/>
              <a:ext cx="16462375" cy="1683597"/>
              <a:chOff x="171449" y="38100"/>
              <a:chExt cx="16659225" cy="1704975"/>
            </a:xfrm>
          </xdr:grpSpPr>
          <xdr:grpSp>
            <xdr:nvGrpSpPr>
              <xdr:cNvPr id="52" name="Group 51">
                <a:extLst>
                  <a:ext uri="{FF2B5EF4-FFF2-40B4-BE49-F238E27FC236}">
                    <a16:creationId xmlns:a16="http://schemas.microsoft.com/office/drawing/2014/main" id="{939711B2-DC95-4757-84A4-CACCBEBC3DEE}"/>
                  </a:ext>
                </a:extLst>
              </xdr:cNvPr>
              <xdr:cNvGrpSpPr/>
            </xdr:nvGrpSpPr>
            <xdr:grpSpPr>
              <a:xfrm>
                <a:off x="171449" y="38100"/>
                <a:ext cx="16659225" cy="1704975"/>
                <a:chOff x="171449" y="38100"/>
                <a:chExt cx="16659225" cy="1704975"/>
              </a:xfrm>
            </xdr:grpSpPr>
            <xdr:pic>
              <xdr:nvPicPr>
                <xdr:cNvPr id="55" name="Picture 54" descr="catalisti.be">
                  <a:extLst>
                    <a:ext uri="{FF2B5EF4-FFF2-40B4-BE49-F238E27FC236}">
                      <a16:creationId xmlns:a16="http://schemas.microsoft.com/office/drawing/2014/main" id="{F2DAFE96-B39A-44DB-894C-2F87147691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6" name="Rectangle 55">
                  <a:extLst>
                    <a:ext uri="{FF2B5EF4-FFF2-40B4-BE49-F238E27FC236}">
                      <a16:creationId xmlns:a16="http://schemas.microsoft.com/office/drawing/2014/main" id="{B399EC60-7F06-4370-94F3-4936ABBAD266}"/>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57" name="Rectangle: Rounded Corners 56">
                  <a:extLst>
                    <a:ext uri="{FF2B5EF4-FFF2-40B4-BE49-F238E27FC236}">
                      <a16:creationId xmlns:a16="http://schemas.microsoft.com/office/drawing/2014/main" id="{53E7FDC0-8F08-4056-8BEE-91B03FD67EEC}"/>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58" name="Picture 57">
                  <a:extLst>
                    <a:ext uri="{FF2B5EF4-FFF2-40B4-BE49-F238E27FC236}">
                      <a16:creationId xmlns:a16="http://schemas.microsoft.com/office/drawing/2014/main" id="{42A2F6DE-0F57-4388-9E74-5AD939A2E2E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59" name="Picture 58">
                  <a:extLst>
                    <a:ext uri="{FF2B5EF4-FFF2-40B4-BE49-F238E27FC236}">
                      <a16:creationId xmlns:a16="http://schemas.microsoft.com/office/drawing/2014/main" id="{436B930A-559E-4C71-A6C3-24A2F0422FE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60" name="Picture 59">
                  <a:extLst>
                    <a:ext uri="{FF2B5EF4-FFF2-40B4-BE49-F238E27FC236}">
                      <a16:creationId xmlns:a16="http://schemas.microsoft.com/office/drawing/2014/main" id="{94318769-6C01-4870-9F2D-BC3BAEA9741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61" name="Picture 60">
                  <a:extLst>
                    <a:ext uri="{FF2B5EF4-FFF2-40B4-BE49-F238E27FC236}">
                      <a16:creationId xmlns:a16="http://schemas.microsoft.com/office/drawing/2014/main" id="{E7F56275-656B-40E3-A499-1C0EA6EAB334}"/>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3" name="Picture 52">
                <a:extLst>
                  <a:ext uri="{FF2B5EF4-FFF2-40B4-BE49-F238E27FC236}">
                    <a16:creationId xmlns:a16="http://schemas.microsoft.com/office/drawing/2014/main" id="{4B31CE95-DEFF-477D-A3C0-C2879940050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54" name="TextBox 53">
                <a:extLst>
                  <a:ext uri="{FF2B5EF4-FFF2-40B4-BE49-F238E27FC236}">
                    <a16:creationId xmlns:a16="http://schemas.microsoft.com/office/drawing/2014/main" id="{A8317AF6-EEDC-43C2-A229-7B59897E13E5}"/>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51" name="Picture 50">
              <a:extLst>
                <a:ext uri="{FF2B5EF4-FFF2-40B4-BE49-F238E27FC236}">
                  <a16:creationId xmlns:a16="http://schemas.microsoft.com/office/drawing/2014/main" id="{C5ABA380-4F2B-44D6-86BA-BC9928BF948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absoluteAnchor>
    <xdr:pos x="1019175" y="2486025"/>
    <xdr:ext cx="609600" cy="653415"/>
    <xdr:grpSp>
      <xdr:nvGrpSpPr>
        <xdr:cNvPr id="16" name="Group 15">
          <a:extLst>
            <a:ext uri="{FF2B5EF4-FFF2-40B4-BE49-F238E27FC236}">
              <a16:creationId xmlns:a16="http://schemas.microsoft.com/office/drawing/2014/main" id="{00000000-0008-0000-0100-000010000000}"/>
            </a:ext>
          </a:extLst>
        </xdr:cNvPr>
        <xdr:cNvGrpSpPr/>
      </xdr:nvGrpSpPr>
      <xdr:grpSpPr>
        <a:xfrm>
          <a:off x="1019175" y="2486025"/>
          <a:ext cx="609600" cy="653415"/>
          <a:chOff x="13464540" y="68580"/>
          <a:chExt cx="609600" cy="662940"/>
        </a:xfrm>
      </xdr:grpSpPr>
      <xdr:pic macro="[0]!Next_worksheet">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8" name="TextBox 17">
            <a:extLst>
              <a:ext uri="{FF2B5EF4-FFF2-40B4-BE49-F238E27FC236}">
                <a16:creationId xmlns:a16="http://schemas.microsoft.com/office/drawing/2014/main" id="{00000000-0008-0000-0100-000012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absoluteAnchor>
  <xdr:absoluteAnchor>
    <xdr:pos x="352425" y="2476500"/>
    <xdr:ext cx="609600" cy="672465"/>
    <xdr:grpSp>
      <xdr:nvGrpSpPr>
        <xdr:cNvPr id="19" name="Group 18">
          <a:extLst>
            <a:ext uri="{FF2B5EF4-FFF2-40B4-BE49-F238E27FC236}">
              <a16:creationId xmlns:a16="http://schemas.microsoft.com/office/drawing/2014/main" id="{00000000-0008-0000-0100-000013000000}"/>
            </a:ext>
          </a:extLst>
        </xdr:cNvPr>
        <xdr:cNvGrpSpPr/>
      </xdr:nvGrpSpPr>
      <xdr:grpSpPr>
        <a:xfrm>
          <a:off x="352425" y="2476500"/>
          <a:ext cx="609600" cy="672465"/>
          <a:chOff x="12801600" y="129540"/>
          <a:chExt cx="609600" cy="685800"/>
        </a:xfrm>
      </xdr:grpSpPr>
      <xdr:pic macro="[0]!Previous_worksheet">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21" name="TextBox 20">
            <a:extLst>
              <a:ext uri="{FF2B5EF4-FFF2-40B4-BE49-F238E27FC236}">
                <a16:creationId xmlns:a16="http://schemas.microsoft.com/office/drawing/2014/main" id="{00000000-0008-0000-0100-000015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absoluteAnchor>
  <xdr:oneCellAnchor>
    <xdr:from>
      <xdr:col>0</xdr:col>
      <xdr:colOff>561975</xdr:colOff>
      <xdr:row>93</xdr:row>
      <xdr:rowOff>142857</xdr:rowOff>
    </xdr:from>
    <xdr:ext cx="906780" cy="729615"/>
    <xdr:grpSp>
      <xdr:nvGrpSpPr>
        <xdr:cNvPr id="22" name="Group 21">
          <a:extLst>
            <a:ext uri="{FF2B5EF4-FFF2-40B4-BE49-F238E27FC236}">
              <a16:creationId xmlns:a16="http://schemas.microsoft.com/office/drawing/2014/main" id="{00000000-0008-0000-0100-000016000000}"/>
            </a:ext>
          </a:extLst>
        </xdr:cNvPr>
        <xdr:cNvGrpSpPr/>
      </xdr:nvGrpSpPr>
      <xdr:grpSpPr>
        <a:xfrm>
          <a:off x="560070" y="16181052"/>
          <a:ext cx="906780" cy="729615"/>
          <a:chOff x="12771120" y="8145780"/>
          <a:chExt cx="906780" cy="739140"/>
        </a:xfrm>
      </xdr:grpSpPr>
      <xdr:pic macro="[0]!Top_of_page">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24" name="TextBox 23">
            <a:extLst>
              <a:ext uri="{FF2B5EF4-FFF2-40B4-BE49-F238E27FC236}">
                <a16:creationId xmlns:a16="http://schemas.microsoft.com/office/drawing/2014/main" id="{00000000-0008-0000-0100-000018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oneCellAnchor>
  <xdr:twoCellAnchor editAs="absolute">
    <xdr:from>
      <xdr:col>0</xdr:col>
      <xdr:colOff>133350</xdr:colOff>
      <xdr:row>10</xdr:row>
      <xdr:rowOff>38100</xdr:rowOff>
    </xdr:from>
    <xdr:to>
      <xdr:col>0</xdr:col>
      <xdr:colOff>1805940</xdr:colOff>
      <xdr:row>11</xdr:row>
      <xdr:rowOff>189177</xdr:rowOff>
    </xdr:to>
    <xdr:sp macro="" textlink="">
      <xdr:nvSpPr>
        <xdr:cNvPr id="25" name="Rounded Rectangle 7" descr="88275868-aeab-4f87-a01d-ccbc353eb7e2">
          <a:hlinkClick xmlns:r="http://schemas.openxmlformats.org/officeDocument/2006/relationships" r:id="rId10"/>
          <a:extLst>
            <a:ext uri="{FF2B5EF4-FFF2-40B4-BE49-F238E27FC236}">
              <a16:creationId xmlns:a16="http://schemas.microsoft.com/office/drawing/2014/main" id="{27241BB5-1D66-4A3A-92C3-20E69E2790E1}"/>
            </a:ext>
          </a:extLst>
        </xdr:cNvPr>
        <xdr:cNvSpPr/>
      </xdr:nvSpPr>
      <xdr:spPr>
        <a:xfrm>
          <a:off x="123825" y="3448050"/>
          <a:ext cx="1685925" cy="341577"/>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Technical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133350</xdr:colOff>
      <xdr:row>12</xdr:row>
      <xdr:rowOff>91440</xdr:rowOff>
    </xdr:from>
    <xdr:to>
      <xdr:col>0</xdr:col>
      <xdr:colOff>1805940</xdr:colOff>
      <xdr:row>14</xdr:row>
      <xdr:rowOff>54267</xdr:rowOff>
    </xdr:to>
    <xdr:sp macro="" textlink="">
      <xdr:nvSpPr>
        <xdr:cNvPr id="26" name="Rounded Rectangle 7" descr="c19dcb94-b068-4513-92e2-a925dcafe07a">
          <a:hlinkClick xmlns:r="http://schemas.openxmlformats.org/officeDocument/2006/relationships" r:id="rId11"/>
          <a:extLst>
            <a:ext uri="{FF2B5EF4-FFF2-40B4-BE49-F238E27FC236}">
              <a16:creationId xmlns:a16="http://schemas.microsoft.com/office/drawing/2014/main" id="{4C6DBF19-852C-4175-9565-9A779A8F5F0C}"/>
            </a:ext>
          </a:extLst>
        </xdr:cNvPr>
        <xdr:cNvSpPr/>
      </xdr:nvSpPr>
      <xdr:spPr>
        <a:xfrm>
          <a:off x="123825" y="3886200"/>
          <a:ext cx="1685925" cy="336207"/>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Economic</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133350</xdr:colOff>
      <xdr:row>14</xdr:row>
      <xdr:rowOff>149571</xdr:rowOff>
    </xdr:from>
    <xdr:to>
      <xdr:col>0</xdr:col>
      <xdr:colOff>1805940</xdr:colOff>
      <xdr:row>17</xdr:row>
      <xdr:rowOff>2553</xdr:rowOff>
    </xdr:to>
    <xdr:sp macro="" textlink="">
      <xdr:nvSpPr>
        <xdr:cNvPr id="27" name="Rounded Rectangle 7" descr="8c90efaf-3d1b-4ff1-aff0-7a04e8abc331">
          <a:hlinkClick xmlns:r="http://schemas.openxmlformats.org/officeDocument/2006/relationships" r:id="rId12"/>
          <a:extLst>
            <a:ext uri="{FF2B5EF4-FFF2-40B4-BE49-F238E27FC236}">
              <a16:creationId xmlns:a16="http://schemas.microsoft.com/office/drawing/2014/main" id="{A5A358FE-47F3-4EF2-9CED-FABF17A3CF0B}"/>
            </a:ext>
          </a:extLst>
        </xdr:cNvPr>
        <xdr:cNvSpPr/>
      </xdr:nvSpPr>
      <xdr:spPr>
        <a:xfrm>
          <a:off x="123825" y="4321521"/>
          <a:ext cx="1685925" cy="341297"/>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Environmental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135255</xdr:colOff>
      <xdr:row>23</xdr:row>
      <xdr:rowOff>20532</xdr:rowOff>
    </xdr:from>
    <xdr:to>
      <xdr:col>0</xdr:col>
      <xdr:colOff>1790700</xdr:colOff>
      <xdr:row>25</xdr:row>
      <xdr:rowOff>53502</xdr:rowOff>
    </xdr:to>
    <xdr:sp macro="" textlink="">
      <xdr:nvSpPr>
        <xdr:cNvPr id="28" name="Rounded Rectangle 25" descr="45b02107-02fc-4bae-9fa9-dfefd7f029f2">
          <a:hlinkClick xmlns:r="http://schemas.openxmlformats.org/officeDocument/2006/relationships" r:id="rId13"/>
          <a:extLst>
            <a:ext uri="{FF2B5EF4-FFF2-40B4-BE49-F238E27FC236}">
              <a16:creationId xmlns:a16="http://schemas.microsoft.com/office/drawing/2014/main" id="{DFFC72B2-3890-448F-BE18-824E9BB384DA}"/>
            </a:ext>
          </a:extLst>
        </xdr:cNvPr>
        <xdr:cNvSpPr/>
      </xdr:nvSpPr>
      <xdr:spPr>
        <a:xfrm>
          <a:off x="142875" y="5562600"/>
          <a:ext cx="1647825" cy="331208"/>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1</a:t>
          </a:r>
        </a:p>
      </xdr:txBody>
    </xdr:sp>
    <xdr:clientData/>
  </xdr:twoCellAnchor>
  <xdr:twoCellAnchor editAs="absolute">
    <xdr:from>
      <xdr:col>0</xdr:col>
      <xdr:colOff>135255</xdr:colOff>
      <xdr:row>26</xdr:row>
      <xdr:rowOff>17257</xdr:rowOff>
    </xdr:from>
    <xdr:to>
      <xdr:col>0</xdr:col>
      <xdr:colOff>1790700</xdr:colOff>
      <xdr:row>28</xdr:row>
      <xdr:rowOff>58520</xdr:rowOff>
    </xdr:to>
    <xdr:sp macro="" textlink="">
      <xdr:nvSpPr>
        <xdr:cNvPr id="29" name="Rounded Rectangle 25" descr="454c25c6-d3d1-4d08-9488-1b2c45010c0d">
          <a:hlinkClick xmlns:r="http://schemas.openxmlformats.org/officeDocument/2006/relationships" r:id="rId14"/>
          <a:extLst>
            <a:ext uri="{FF2B5EF4-FFF2-40B4-BE49-F238E27FC236}">
              <a16:creationId xmlns:a16="http://schemas.microsoft.com/office/drawing/2014/main" id="{DD374367-D06A-4376-B68F-F7C56816917E}"/>
            </a:ext>
          </a:extLst>
        </xdr:cNvPr>
        <xdr:cNvSpPr/>
      </xdr:nvSpPr>
      <xdr:spPr>
        <a:xfrm>
          <a:off x="142875" y="6030072"/>
          <a:ext cx="1647825" cy="320451"/>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2</a:t>
          </a:r>
        </a:p>
      </xdr:txBody>
    </xdr:sp>
    <xdr:clientData/>
  </xdr:twoCellAnchor>
  <xdr:twoCellAnchor editAs="absolute">
    <xdr:from>
      <xdr:col>0</xdr:col>
      <xdr:colOff>135255</xdr:colOff>
      <xdr:row>29</xdr:row>
      <xdr:rowOff>21401</xdr:rowOff>
    </xdr:from>
    <xdr:to>
      <xdr:col>0</xdr:col>
      <xdr:colOff>1790700</xdr:colOff>
      <xdr:row>31</xdr:row>
      <xdr:rowOff>92105</xdr:rowOff>
    </xdr:to>
    <xdr:sp macro="" textlink="">
      <xdr:nvSpPr>
        <xdr:cNvPr id="30" name="Rounded Rectangle 25" descr="78e393b4-4710-4fe4-a7aa-14a0fb22821a">
          <a:hlinkClick xmlns:r="http://schemas.openxmlformats.org/officeDocument/2006/relationships" r:id="rId15"/>
          <a:extLst>
            <a:ext uri="{FF2B5EF4-FFF2-40B4-BE49-F238E27FC236}">
              <a16:creationId xmlns:a16="http://schemas.microsoft.com/office/drawing/2014/main" id="{374E5DAF-3C8E-4C16-B5DC-1550A9BD32A3}"/>
            </a:ext>
          </a:extLst>
        </xdr:cNvPr>
        <xdr:cNvSpPr/>
      </xdr:nvSpPr>
      <xdr:spPr>
        <a:xfrm>
          <a:off x="142875" y="6473424"/>
          <a:ext cx="1647825" cy="33507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3</a:t>
          </a:r>
        </a:p>
      </xdr:txBody>
    </xdr:sp>
    <xdr:clientData/>
  </xdr:twoCellAnchor>
  <xdr:twoCellAnchor editAs="absolute">
    <xdr:from>
      <xdr:col>0</xdr:col>
      <xdr:colOff>135255</xdr:colOff>
      <xdr:row>32</xdr:row>
      <xdr:rowOff>19041</xdr:rowOff>
    </xdr:from>
    <xdr:to>
      <xdr:col>0</xdr:col>
      <xdr:colOff>1790700</xdr:colOff>
      <xdr:row>34</xdr:row>
      <xdr:rowOff>97198</xdr:rowOff>
    </xdr:to>
    <xdr:sp macro="" textlink="">
      <xdr:nvSpPr>
        <xdr:cNvPr id="31" name="Rounded Rectangle 25" descr="b20837d6-2f2d-4359-9afe-eac0cfc4d6c6">
          <a:hlinkClick xmlns:r="http://schemas.openxmlformats.org/officeDocument/2006/relationships" r:id="rId16"/>
          <a:extLst>
            <a:ext uri="{FF2B5EF4-FFF2-40B4-BE49-F238E27FC236}">
              <a16:creationId xmlns:a16="http://schemas.microsoft.com/office/drawing/2014/main" id="{47C336A5-E377-4D85-9755-44DC9C9ED280}"/>
            </a:ext>
          </a:extLst>
        </xdr:cNvPr>
        <xdr:cNvSpPr/>
      </xdr:nvSpPr>
      <xdr:spPr>
        <a:xfrm>
          <a:off x="142875" y="6925513"/>
          <a:ext cx="1647825" cy="344432"/>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4</a:t>
          </a:r>
        </a:p>
      </xdr:txBody>
    </xdr:sp>
    <xdr:clientData/>
  </xdr:twoCellAnchor>
  <xdr:twoCellAnchor>
    <xdr:from>
      <xdr:col>5</xdr:col>
      <xdr:colOff>225001</xdr:colOff>
      <xdr:row>42</xdr:row>
      <xdr:rowOff>17780</xdr:rowOff>
    </xdr:from>
    <xdr:to>
      <xdr:col>9</xdr:col>
      <xdr:colOff>1829306</xdr:colOff>
      <xdr:row>55</xdr:row>
      <xdr:rowOff>113769</xdr:rowOff>
    </xdr:to>
    <xdr:graphicFrame macro="">
      <xdr:nvGraphicFramePr>
        <xdr:cNvPr id="33" name="Chart 32">
          <a:extLst>
            <a:ext uri="{FF2B5EF4-FFF2-40B4-BE49-F238E27FC236}">
              <a16:creationId xmlns:a16="http://schemas.microsoft.com/office/drawing/2014/main" id="{0F58B25E-F49F-FC96-B128-36A313073B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0</xdr:row>
      <xdr:rowOff>104775</xdr:rowOff>
    </xdr:from>
    <xdr:to>
      <xdr:col>10</xdr:col>
      <xdr:colOff>593725</xdr:colOff>
      <xdr:row>0</xdr:row>
      <xdr:rowOff>1773132</xdr:rowOff>
    </xdr:to>
    <xdr:grpSp>
      <xdr:nvGrpSpPr>
        <xdr:cNvPr id="52" name="Group 51">
          <a:extLst>
            <a:ext uri="{FF2B5EF4-FFF2-40B4-BE49-F238E27FC236}">
              <a16:creationId xmlns:a16="http://schemas.microsoft.com/office/drawing/2014/main" id="{07E4B166-7567-4B93-AB11-A7077875D0B2}"/>
            </a:ext>
          </a:extLst>
        </xdr:cNvPr>
        <xdr:cNvGrpSpPr/>
      </xdr:nvGrpSpPr>
      <xdr:grpSpPr>
        <a:xfrm>
          <a:off x="201930" y="102870"/>
          <a:ext cx="16456660" cy="1666452"/>
          <a:chOff x="171450" y="91441"/>
          <a:chExt cx="16462375" cy="1683597"/>
        </a:xfrm>
      </xdr:grpSpPr>
      <xdr:pic>
        <xdr:nvPicPr>
          <xdr:cNvPr id="53" name="Picture 52">
            <a:extLst>
              <a:ext uri="{FF2B5EF4-FFF2-40B4-BE49-F238E27FC236}">
                <a16:creationId xmlns:a16="http://schemas.microsoft.com/office/drawing/2014/main" id="{55CD0246-6564-4414-B4C2-071251175341}"/>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54" name="Group 53">
            <a:extLst>
              <a:ext uri="{FF2B5EF4-FFF2-40B4-BE49-F238E27FC236}">
                <a16:creationId xmlns:a16="http://schemas.microsoft.com/office/drawing/2014/main" id="{513BB53D-4E65-4832-8C32-C4BC9BDA177E}"/>
              </a:ext>
            </a:extLst>
          </xdr:cNvPr>
          <xdr:cNvGrpSpPr/>
        </xdr:nvGrpSpPr>
        <xdr:grpSpPr>
          <a:xfrm>
            <a:off x="167640" y="95251"/>
            <a:ext cx="16462375" cy="1675977"/>
            <a:chOff x="167640" y="95251"/>
            <a:chExt cx="16462375" cy="1675977"/>
          </a:xfrm>
        </xdr:grpSpPr>
        <xdr:grpSp>
          <xdr:nvGrpSpPr>
            <xdr:cNvPr id="55" name="Group 54">
              <a:extLst>
                <a:ext uri="{FF2B5EF4-FFF2-40B4-BE49-F238E27FC236}">
                  <a16:creationId xmlns:a16="http://schemas.microsoft.com/office/drawing/2014/main" id="{1E3165B6-44EA-43F7-8E6A-6E8575A2A071}"/>
                </a:ext>
              </a:extLst>
            </xdr:cNvPr>
            <xdr:cNvGrpSpPr/>
          </xdr:nvGrpSpPr>
          <xdr:grpSpPr>
            <a:xfrm>
              <a:off x="171450" y="91441"/>
              <a:ext cx="16462375" cy="1683597"/>
              <a:chOff x="171449" y="38100"/>
              <a:chExt cx="16659225" cy="1704975"/>
            </a:xfrm>
          </xdr:grpSpPr>
          <xdr:grpSp>
            <xdr:nvGrpSpPr>
              <xdr:cNvPr id="57" name="Group 56">
                <a:extLst>
                  <a:ext uri="{FF2B5EF4-FFF2-40B4-BE49-F238E27FC236}">
                    <a16:creationId xmlns:a16="http://schemas.microsoft.com/office/drawing/2014/main" id="{1939322B-2FD1-425B-BEAB-21556182F0B7}"/>
                  </a:ext>
                </a:extLst>
              </xdr:cNvPr>
              <xdr:cNvGrpSpPr/>
            </xdr:nvGrpSpPr>
            <xdr:grpSpPr>
              <a:xfrm>
                <a:off x="171449" y="38100"/>
                <a:ext cx="16659225" cy="1704975"/>
                <a:chOff x="171449" y="38100"/>
                <a:chExt cx="16659225" cy="1704975"/>
              </a:xfrm>
            </xdr:grpSpPr>
            <xdr:pic>
              <xdr:nvPicPr>
                <xdr:cNvPr id="60" name="Picture 59" descr="catalisti.be">
                  <a:extLst>
                    <a:ext uri="{FF2B5EF4-FFF2-40B4-BE49-F238E27FC236}">
                      <a16:creationId xmlns:a16="http://schemas.microsoft.com/office/drawing/2014/main" id="{E0AAC707-FAE9-41FB-911B-3BE7C78B2C2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1" name="Rectangle 60">
                  <a:extLst>
                    <a:ext uri="{FF2B5EF4-FFF2-40B4-BE49-F238E27FC236}">
                      <a16:creationId xmlns:a16="http://schemas.microsoft.com/office/drawing/2014/main" id="{058032EF-C0DE-472B-9C88-ECD34FBC5534}"/>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62" name="Rectangle: Rounded Corners 61">
                  <a:extLst>
                    <a:ext uri="{FF2B5EF4-FFF2-40B4-BE49-F238E27FC236}">
                      <a16:creationId xmlns:a16="http://schemas.microsoft.com/office/drawing/2014/main" id="{F704E3AC-86AD-4304-98F2-FB197D24B0EB}"/>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63" name="Picture 62">
                  <a:extLst>
                    <a:ext uri="{FF2B5EF4-FFF2-40B4-BE49-F238E27FC236}">
                      <a16:creationId xmlns:a16="http://schemas.microsoft.com/office/drawing/2014/main" id="{65A39BFE-7179-49D9-A92D-A5397514AE0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64" name="Picture 63">
                  <a:extLst>
                    <a:ext uri="{FF2B5EF4-FFF2-40B4-BE49-F238E27FC236}">
                      <a16:creationId xmlns:a16="http://schemas.microsoft.com/office/drawing/2014/main" id="{4CC1D98B-177B-496E-A1F2-1DDA598951C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65" name="Picture 64">
                  <a:extLst>
                    <a:ext uri="{FF2B5EF4-FFF2-40B4-BE49-F238E27FC236}">
                      <a16:creationId xmlns:a16="http://schemas.microsoft.com/office/drawing/2014/main" id="{D68AE78E-F01B-438C-902A-4DFBA61E691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66" name="Picture 65">
                  <a:extLst>
                    <a:ext uri="{FF2B5EF4-FFF2-40B4-BE49-F238E27FC236}">
                      <a16:creationId xmlns:a16="http://schemas.microsoft.com/office/drawing/2014/main" id="{E753410E-76E1-4E91-9651-D3DADD5063B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8" name="Picture 57">
                <a:extLst>
                  <a:ext uri="{FF2B5EF4-FFF2-40B4-BE49-F238E27FC236}">
                    <a16:creationId xmlns:a16="http://schemas.microsoft.com/office/drawing/2014/main" id="{01F697CC-3D19-43B6-8514-22F47846A2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59" name="TextBox 58">
                <a:extLst>
                  <a:ext uri="{FF2B5EF4-FFF2-40B4-BE49-F238E27FC236}">
                    <a16:creationId xmlns:a16="http://schemas.microsoft.com/office/drawing/2014/main" id="{E68C4EF0-EE31-45FA-842E-DC323FF27616}"/>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56" name="Picture 55">
              <a:extLst>
                <a:ext uri="{FF2B5EF4-FFF2-40B4-BE49-F238E27FC236}">
                  <a16:creationId xmlns:a16="http://schemas.microsoft.com/office/drawing/2014/main" id="{8C628259-713F-4C7C-8C01-BBB86CC97D2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1011555</xdr:colOff>
      <xdr:row>4</xdr:row>
      <xdr:rowOff>133350</xdr:rowOff>
    </xdr:from>
    <xdr:to>
      <xdr:col>0</xdr:col>
      <xdr:colOff>1621155</xdr:colOff>
      <xdr:row>8</xdr:row>
      <xdr:rowOff>59055</xdr:rowOff>
    </xdr:to>
    <xdr:grpSp>
      <xdr:nvGrpSpPr>
        <xdr:cNvPr id="11" name="Group 10">
          <a:extLst>
            <a:ext uri="{FF2B5EF4-FFF2-40B4-BE49-F238E27FC236}">
              <a16:creationId xmlns:a16="http://schemas.microsoft.com/office/drawing/2014/main" id="{00000000-0008-0000-0200-00000B000000}"/>
            </a:ext>
          </a:extLst>
        </xdr:cNvPr>
        <xdr:cNvGrpSpPr/>
      </xdr:nvGrpSpPr>
      <xdr:grpSpPr>
        <a:xfrm>
          <a:off x="1007745" y="2491740"/>
          <a:ext cx="609600" cy="640080"/>
          <a:chOff x="13464540" y="68580"/>
          <a:chExt cx="609600" cy="662940"/>
        </a:xfrm>
      </xdr:grpSpPr>
      <xdr:pic macro="[0]!Next_worksheet">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3" name="TextBox 12">
            <a:extLst>
              <a:ext uri="{FF2B5EF4-FFF2-40B4-BE49-F238E27FC236}">
                <a16:creationId xmlns:a16="http://schemas.microsoft.com/office/drawing/2014/main" id="{00000000-0008-0000-0200-00000D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361950</xdr:colOff>
      <xdr:row>4</xdr:row>
      <xdr:rowOff>114300</xdr:rowOff>
    </xdr:from>
    <xdr:to>
      <xdr:col>0</xdr:col>
      <xdr:colOff>971550</xdr:colOff>
      <xdr:row>8</xdr:row>
      <xdr:rowOff>72390</xdr:rowOff>
    </xdr:to>
    <xdr:grpSp>
      <xdr:nvGrpSpPr>
        <xdr:cNvPr id="14" name="Group 13">
          <a:extLst>
            <a:ext uri="{FF2B5EF4-FFF2-40B4-BE49-F238E27FC236}">
              <a16:creationId xmlns:a16="http://schemas.microsoft.com/office/drawing/2014/main" id="{00000000-0008-0000-0200-00000E000000}"/>
            </a:ext>
          </a:extLst>
        </xdr:cNvPr>
        <xdr:cNvGrpSpPr/>
      </xdr:nvGrpSpPr>
      <xdr:grpSpPr>
        <a:xfrm>
          <a:off x="358140" y="2476500"/>
          <a:ext cx="609600" cy="672465"/>
          <a:chOff x="12801600" y="129540"/>
          <a:chExt cx="609600" cy="685800"/>
        </a:xfrm>
      </xdr:grpSpPr>
      <xdr:pic macro="[0]!Previous_worksheet">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2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oneCell">
    <xdr:from>
      <xdr:col>0</xdr:col>
      <xdr:colOff>561975</xdr:colOff>
      <xdr:row>24</xdr:row>
      <xdr:rowOff>133350</xdr:rowOff>
    </xdr:from>
    <xdr:to>
      <xdr:col>0</xdr:col>
      <xdr:colOff>1464945</xdr:colOff>
      <xdr:row>30</xdr:row>
      <xdr:rowOff>19050</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560070" y="5930265"/>
          <a:ext cx="908685" cy="742950"/>
          <a:chOff x="12771120" y="8145780"/>
          <a:chExt cx="906780" cy="739140"/>
        </a:xfrm>
      </xdr:grpSpPr>
      <xdr:pic macro="[0]!Top_of_page">
        <xdr:nvPicPr>
          <xdr:cNvPr id="18" name="Pictur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19" name="TextBox 18">
            <a:extLst>
              <a:ext uri="{FF2B5EF4-FFF2-40B4-BE49-F238E27FC236}">
                <a16:creationId xmlns:a16="http://schemas.microsoft.com/office/drawing/2014/main" id="{00000000-0008-0000-0200-000013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1562100</xdr:colOff>
      <xdr:row>2</xdr:row>
      <xdr:rowOff>123825</xdr:rowOff>
    </xdr:from>
    <xdr:to>
      <xdr:col>1</xdr:col>
      <xdr:colOff>1773192</xdr:colOff>
      <xdr:row>3</xdr:row>
      <xdr:rowOff>174515</xdr:rowOff>
    </xdr:to>
    <xdr:pic macro="[0]!ProjectSheet">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0"/>
        <a:stretch>
          <a:fillRect/>
        </a:stretch>
      </xdr:blipFill>
      <xdr:spPr>
        <a:xfrm>
          <a:off x="3609975" y="2095500"/>
          <a:ext cx="207282" cy="201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198120</xdr:colOff>
      <xdr:row>0</xdr:row>
      <xdr:rowOff>83820</xdr:rowOff>
    </xdr:from>
    <xdr:to>
      <xdr:col>13</xdr:col>
      <xdr:colOff>22225</xdr:colOff>
      <xdr:row>0</xdr:row>
      <xdr:rowOff>1761702</xdr:rowOff>
    </xdr:to>
    <xdr:grpSp>
      <xdr:nvGrpSpPr>
        <xdr:cNvPr id="68" name="Group 67">
          <a:extLst>
            <a:ext uri="{FF2B5EF4-FFF2-40B4-BE49-F238E27FC236}">
              <a16:creationId xmlns:a16="http://schemas.microsoft.com/office/drawing/2014/main" id="{2446B230-026A-42F3-84BA-96EE84F77A35}"/>
            </a:ext>
          </a:extLst>
        </xdr:cNvPr>
        <xdr:cNvGrpSpPr/>
      </xdr:nvGrpSpPr>
      <xdr:grpSpPr>
        <a:xfrm>
          <a:off x="200025" y="85725"/>
          <a:ext cx="16458565" cy="1677882"/>
          <a:chOff x="171450" y="91441"/>
          <a:chExt cx="16462375" cy="1683597"/>
        </a:xfrm>
      </xdr:grpSpPr>
      <xdr:pic>
        <xdr:nvPicPr>
          <xdr:cNvPr id="69" name="Picture 68">
            <a:extLst>
              <a:ext uri="{FF2B5EF4-FFF2-40B4-BE49-F238E27FC236}">
                <a16:creationId xmlns:a16="http://schemas.microsoft.com/office/drawing/2014/main" id="{E0BCC8E0-1132-4049-B41E-F67B67512763}"/>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70" name="Group 69">
            <a:extLst>
              <a:ext uri="{FF2B5EF4-FFF2-40B4-BE49-F238E27FC236}">
                <a16:creationId xmlns:a16="http://schemas.microsoft.com/office/drawing/2014/main" id="{7CBCEB5A-BDE0-4DBC-B3CD-C28D580E58B3}"/>
              </a:ext>
            </a:extLst>
          </xdr:cNvPr>
          <xdr:cNvGrpSpPr/>
        </xdr:nvGrpSpPr>
        <xdr:grpSpPr>
          <a:xfrm>
            <a:off x="167640" y="95251"/>
            <a:ext cx="16462375" cy="1675977"/>
            <a:chOff x="167640" y="95251"/>
            <a:chExt cx="16462375" cy="1675977"/>
          </a:xfrm>
        </xdr:grpSpPr>
        <xdr:grpSp>
          <xdr:nvGrpSpPr>
            <xdr:cNvPr id="71" name="Group 70">
              <a:extLst>
                <a:ext uri="{FF2B5EF4-FFF2-40B4-BE49-F238E27FC236}">
                  <a16:creationId xmlns:a16="http://schemas.microsoft.com/office/drawing/2014/main" id="{A820B96A-C203-4092-BE5B-8B030D270F19}"/>
                </a:ext>
              </a:extLst>
            </xdr:cNvPr>
            <xdr:cNvGrpSpPr/>
          </xdr:nvGrpSpPr>
          <xdr:grpSpPr>
            <a:xfrm>
              <a:off x="171450" y="91441"/>
              <a:ext cx="16462375" cy="1683597"/>
              <a:chOff x="171449" y="38100"/>
              <a:chExt cx="16659225" cy="1704975"/>
            </a:xfrm>
          </xdr:grpSpPr>
          <xdr:grpSp>
            <xdr:nvGrpSpPr>
              <xdr:cNvPr id="73" name="Group 72">
                <a:extLst>
                  <a:ext uri="{FF2B5EF4-FFF2-40B4-BE49-F238E27FC236}">
                    <a16:creationId xmlns:a16="http://schemas.microsoft.com/office/drawing/2014/main" id="{E0D215C7-F582-4268-82B9-DB0D7B5E5A6C}"/>
                  </a:ext>
                </a:extLst>
              </xdr:cNvPr>
              <xdr:cNvGrpSpPr/>
            </xdr:nvGrpSpPr>
            <xdr:grpSpPr>
              <a:xfrm>
                <a:off x="171449" y="38100"/>
                <a:ext cx="16659225" cy="1704975"/>
                <a:chOff x="171449" y="38100"/>
                <a:chExt cx="16659225" cy="1704975"/>
              </a:xfrm>
            </xdr:grpSpPr>
            <xdr:pic>
              <xdr:nvPicPr>
                <xdr:cNvPr id="76" name="Picture 75" descr="catalisti.be">
                  <a:extLst>
                    <a:ext uri="{FF2B5EF4-FFF2-40B4-BE49-F238E27FC236}">
                      <a16:creationId xmlns:a16="http://schemas.microsoft.com/office/drawing/2014/main" id="{ACAA5D14-F2D6-4D96-BC1B-51F31EC3D9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7" name="Rectangle 76">
                  <a:extLst>
                    <a:ext uri="{FF2B5EF4-FFF2-40B4-BE49-F238E27FC236}">
                      <a16:creationId xmlns:a16="http://schemas.microsoft.com/office/drawing/2014/main" id="{96829DCB-0D17-471F-B2CE-F55A72E911B1}"/>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78" name="Rectangle: Rounded Corners 77">
                  <a:extLst>
                    <a:ext uri="{FF2B5EF4-FFF2-40B4-BE49-F238E27FC236}">
                      <a16:creationId xmlns:a16="http://schemas.microsoft.com/office/drawing/2014/main" id="{1CDF4FDC-153D-42B5-A46D-8D20E558059E}"/>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79" name="Picture 78">
                  <a:extLst>
                    <a:ext uri="{FF2B5EF4-FFF2-40B4-BE49-F238E27FC236}">
                      <a16:creationId xmlns:a16="http://schemas.microsoft.com/office/drawing/2014/main" id="{736A5E10-D539-4FB2-8308-7C807CE47FA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80" name="Picture 79">
                  <a:extLst>
                    <a:ext uri="{FF2B5EF4-FFF2-40B4-BE49-F238E27FC236}">
                      <a16:creationId xmlns:a16="http://schemas.microsoft.com/office/drawing/2014/main" id="{9B41B98A-DFD9-4CC4-A6FC-9D5A97E3A9E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81" name="Picture 80">
                  <a:extLst>
                    <a:ext uri="{FF2B5EF4-FFF2-40B4-BE49-F238E27FC236}">
                      <a16:creationId xmlns:a16="http://schemas.microsoft.com/office/drawing/2014/main" id="{B054BD81-EDB6-4AEF-BB71-7E8629A4D4C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82" name="Picture 81">
                  <a:extLst>
                    <a:ext uri="{FF2B5EF4-FFF2-40B4-BE49-F238E27FC236}">
                      <a16:creationId xmlns:a16="http://schemas.microsoft.com/office/drawing/2014/main" id="{705E6583-E6FE-498B-BCFD-D7510758042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74" name="Picture 73">
                <a:extLst>
                  <a:ext uri="{FF2B5EF4-FFF2-40B4-BE49-F238E27FC236}">
                    <a16:creationId xmlns:a16="http://schemas.microsoft.com/office/drawing/2014/main" id="{26A195B3-903F-4507-BE0A-64B7BBEC65F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75" name="TextBox 74">
                <a:extLst>
                  <a:ext uri="{FF2B5EF4-FFF2-40B4-BE49-F238E27FC236}">
                    <a16:creationId xmlns:a16="http://schemas.microsoft.com/office/drawing/2014/main" id="{6449ACEC-A370-4BBF-8396-92F3147B1A2C}"/>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72" name="Picture 71">
              <a:extLst>
                <a:ext uri="{FF2B5EF4-FFF2-40B4-BE49-F238E27FC236}">
                  <a16:creationId xmlns:a16="http://schemas.microsoft.com/office/drawing/2014/main" id="{B53EAFEA-A0CD-4DEA-9F71-074317F102D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1007745</xdr:colOff>
      <xdr:row>4</xdr:row>
      <xdr:rowOff>129540</xdr:rowOff>
    </xdr:from>
    <xdr:to>
      <xdr:col>0</xdr:col>
      <xdr:colOff>1617345</xdr:colOff>
      <xdr:row>8</xdr:row>
      <xdr:rowOff>91440</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1011555" y="2495550"/>
          <a:ext cx="609600" cy="657225"/>
          <a:chOff x="13464540" y="68580"/>
          <a:chExt cx="609600" cy="662940"/>
        </a:xfrm>
      </xdr:grpSpPr>
      <xdr:pic macro="[0]!Next_worksheet">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3" name="TextBox 12">
            <a:extLst>
              <a:ext uri="{FF2B5EF4-FFF2-40B4-BE49-F238E27FC236}">
                <a16:creationId xmlns:a16="http://schemas.microsoft.com/office/drawing/2014/main" id="{00000000-0008-0000-0300-00000D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358140</xdr:colOff>
      <xdr:row>4</xdr:row>
      <xdr:rowOff>114300</xdr:rowOff>
    </xdr:from>
    <xdr:to>
      <xdr:col>0</xdr:col>
      <xdr:colOff>967740</xdr:colOff>
      <xdr:row>8</xdr:row>
      <xdr:rowOff>91440</xdr:rowOff>
    </xdr:to>
    <xdr:grpSp>
      <xdr:nvGrpSpPr>
        <xdr:cNvPr id="14" name="Group 13">
          <a:extLst>
            <a:ext uri="{FF2B5EF4-FFF2-40B4-BE49-F238E27FC236}">
              <a16:creationId xmlns:a16="http://schemas.microsoft.com/office/drawing/2014/main" id="{00000000-0008-0000-0300-00000E000000}"/>
            </a:ext>
          </a:extLst>
        </xdr:cNvPr>
        <xdr:cNvGrpSpPr/>
      </xdr:nvGrpSpPr>
      <xdr:grpSpPr>
        <a:xfrm>
          <a:off x="361950" y="2476500"/>
          <a:ext cx="609600" cy="676275"/>
          <a:chOff x="12801600" y="129540"/>
          <a:chExt cx="609600" cy="685800"/>
        </a:xfrm>
      </xdr:grpSpPr>
      <xdr:pic macro="[0]!Previous_worksheet">
        <xdr:nvPicPr>
          <xdr:cNvPr id="15" name="Picture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3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oneCell">
    <xdr:from>
      <xdr:col>0</xdr:col>
      <xdr:colOff>504825</xdr:colOff>
      <xdr:row>38</xdr:row>
      <xdr:rowOff>447675</xdr:rowOff>
    </xdr:from>
    <xdr:to>
      <xdr:col>0</xdr:col>
      <xdr:colOff>1411605</xdr:colOff>
      <xdr:row>43</xdr:row>
      <xdr:rowOff>131445</xdr:rowOff>
    </xdr:to>
    <xdr:grpSp>
      <xdr:nvGrpSpPr>
        <xdr:cNvPr id="17" name="Group 16">
          <a:extLst>
            <a:ext uri="{FF2B5EF4-FFF2-40B4-BE49-F238E27FC236}">
              <a16:creationId xmlns:a16="http://schemas.microsoft.com/office/drawing/2014/main" id="{00000000-0008-0000-0300-000011000000}"/>
            </a:ext>
          </a:extLst>
        </xdr:cNvPr>
        <xdr:cNvGrpSpPr/>
      </xdr:nvGrpSpPr>
      <xdr:grpSpPr>
        <a:xfrm>
          <a:off x="506730" y="11723370"/>
          <a:ext cx="904875" cy="718185"/>
          <a:chOff x="12771120" y="8145780"/>
          <a:chExt cx="906780" cy="739140"/>
        </a:xfrm>
      </xdr:grpSpPr>
      <xdr:pic macro="[0]!Top_of_page">
        <xdr:nvPicPr>
          <xdr:cNvPr id="18" name="Pictur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19" name="TextBox 18">
            <a:extLst>
              <a:ext uri="{FF2B5EF4-FFF2-40B4-BE49-F238E27FC236}">
                <a16:creationId xmlns:a16="http://schemas.microsoft.com/office/drawing/2014/main" id="{00000000-0008-0000-0300-000013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2</xdr:col>
      <xdr:colOff>533400</xdr:colOff>
      <xdr:row>2</xdr:row>
      <xdr:rowOff>95250</xdr:rowOff>
    </xdr:from>
    <xdr:to>
      <xdr:col>2</xdr:col>
      <xdr:colOff>740682</xdr:colOff>
      <xdr:row>3</xdr:row>
      <xdr:rowOff>153560</xdr:rowOff>
    </xdr:to>
    <xdr:pic macro="[0]!TechnologyDescription">
      <xdr:nvPicPr>
        <xdr:cNvPr id="20" name="Pictur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0"/>
        <a:stretch>
          <a:fillRect/>
        </a:stretch>
      </xdr:blipFill>
      <xdr:spPr>
        <a:xfrm>
          <a:off x="4724400" y="2066925"/>
          <a:ext cx="207282" cy="201185"/>
        </a:xfrm>
        <a:prstGeom prst="rect">
          <a:avLst/>
        </a:prstGeom>
      </xdr:spPr>
    </xdr:pic>
    <xdr:clientData/>
  </xdr:twoCellAnchor>
  <xdr:twoCellAnchor editAs="oneCell">
    <xdr:from>
      <xdr:col>2</xdr:col>
      <xdr:colOff>847725</xdr:colOff>
      <xdr:row>13</xdr:row>
      <xdr:rowOff>209550</xdr:rowOff>
    </xdr:from>
    <xdr:to>
      <xdr:col>2</xdr:col>
      <xdr:colOff>977496</xdr:colOff>
      <xdr:row>13</xdr:row>
      <xdr:rowOff>342900</xdr:rowOff>
    </xdr:to>
    <xdr:pic macro="[0]!TRL">
      <xdr:nvPicPr>
        <xdr:cNvPr id="23" name="Picture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0"/>
        <a:stretch>
          <a:fillRect/>
        </a:stretch>
      </xdr:blipFill>
      <xdr:spPr>
        <a:xfrm>
          <a:off x="4572000" y="4762500"/>
          <a:ext cx="137391" cy="133350"/>
        </a:xfrm>
        <a:prstGeom prst="rect">
          <a:avLst/>
        </a:prstGeom>
      </xdr:spPr>
    </xdr:pic>
    <xdr:clientData/>
  </xdr:twoCellAnchor>
  <xdr:twoCellAnchor editAs="oneCell">
    <xdr:from>
      <xdr:col>1</xdr:col>
      <xdr:colOff>1657350</xdr:colOff>
      <xdr:row>12</xdr:row>
      <xdr:rowOff>0</xdr:rowOff>
    </xdr:from>
    <xdr:to>
      <xdr:col>1</xdr:col>
      <xdr:colOff>1802361</xdr:colOff>
      <xdr:row>12</xdr:row>
      <xdr:rowOff>133350</xdr:rowOff>
    </xdr:to>
    <xdr:pic macro="[0]!Benchmark">
      <xdr:nvPicPr>
        <xdr:cNvPr id="25" name="Picture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10"/>
        <a:stretch>
          <a:fillRect/>
        </a:stretch>
      </xdr:blipFill>
      <xdr:spPr>
        <a:xfrm>
          <a:off x="3705225" y="5657850"/>
          <a:ext cx="137391" cy="133350"/>
        </a:xfrm>
        <a:prstGeom prst="rect">
          <a:avLst/>
        </a:prstGeom>
      </xdr:spPr>
    </xdr:pic>
    <xdr:clientData/>
  </xdr:twoCellAnchor>
  <xdr:twoCellAnchor editAs="oneCell">
    <xdr:from>
      <xdr:col>11</xdr:col>
      <xdr:colOff>133350</xdr:colOff>
      <xdr:row>3</xdr:row>
      <xdr:rowOff>142875</xdr:rowOff>
    </xdr:from>
    <xdr:to>
      <xdr:col>15</xdr:col>
      <xdr:colOff>209550</xdr:colOff>
      <xdr:row>11</xdr:row>
      <xdr:rowOff>59004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1"/>
        <a:stretch>
          <a:fillRect/>
        </a:stretch>
      </xdr:blipFill>
      <xdr:spPr>
        <a:xfrm>
          <a:off x="15097125" y="2257425"/>
          <a:ext cx="2514600" cy="2076399"/>
        </a:xfrm>
        <a:prstGeom prst="rect">
          <a:avLst/>
        </a:prstGeom>
      </xdr:spPr>
    </xdr:pic>
    <xdr:clientData/>
  </xdr:twoCellAnchor>
  <xdr:twoCellAnchor editAs="oneCell">
    <xdr:from>
      <xdr:col>1</xdr:col>
      <xdr:colOff>1285875</xdr:colOff>
      <xdr:row>6</xdr:row>
      <xdr:rowOff>133350</xdr:rowOff>
    </xdr:from>
    <xdr:to>
      <xdr:col>1</xdr:col>
      <xdr:colOff>1430886</xdr:colOff>
      <xdr:row>7</xdr:row>
      <xdr:rowOff>129540</xdr:rowOff>
    </xdr:to>
    <xdr:pic macro="[0]!ProcessDescription">
      <xdr:nvPicPr>
        <xdr:cNvPr id="33" name="Picture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0"/>
        <a:stretch>
          <a:fillRect/>
        </a:stretch>
      </xdr:blipFill>
      <xdr:spPr>
        <a:xfrm>
          <a:off x="3333750" y="2781300"/>
          <a:ext cx="137391" cy="133350"/>
        </a:xfrm>
        <a:prstGeom prst="rect">
          <a:avLst/>
        </a:prstGeom>
      </xdr:spPr>
    </xdr:pic>
    <xdr:clientData/>
  </xdr:twoCellAnchor>
  <xdr:oneCellAnchor>
    <xdr:from>
      <xdr:col>1</xdr:col>
      <xdr:colOff>1266825</xdr:colOff>
      <xdr:row>27</xdr:row>
      <xdr:rowOff>9525</xdr:rowOff>
    </xdr:from>
    <xdr:ext cx="137391" cy="133350"/>
    <xdr:pic macro="[0]!SystemBound">
      <xdr:nvPicPr>
        <xdr:cNvPr id="34" name="Picture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0"/>
        <a:stretch>
          <a:fillRect/>
        </a:stretch>
      </xdr:blipFill>
      <xdr:spPr>
        <a:xfrm>
          <a:off x="3314700" y="9067800"/>
          <a:ext cx="137391" cy="133350"/>
        </a:xfrm>
        <a:prstGeom prst="rect">
          <a:avLst/>
        </a:prstGeom>
      </xdr:spPr>
    </xdr:pic>
    <xdr:clientData/>
  </xdr:oneCellAnchor>
  <xdr:oneCellAnchor>
    <xdr:from>
      <xdr:col>1</xdr:col>
      <xdr:colOff>1343025</xdr:colOff>
      <xdr:row>31</xdr:row>
      <xdr:rowOff>57150</xdr:rowOff>
    </xdr:from>
    <xdr:ext cx="134124" cy="134124"/>
    <xdr:pic macro="[0]!FU">
      <xdr:nvPicPr>
        <xdr:cNvPr id="36" name="Picture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2"/>
        <a:stretch>
          <a:fillRect/>
        </a:stretch>
      </xdr:blipFill>
      <xdr:spPr>
        <a:xfrm>
          <a:off x="3390900" y="10067925"/>
          <a:ext cx="134124" cy="134124"/>
        </a:xfrm>
        <a:prstGeom prst="rect">
          <a:avLst/>
        </a:prstGeom>
      </xdr:spPr>
    </xdr:pic>
    <xdr:clientData/>
  </xdr:oneCellAnchor>
  <xdr:twoCellAnchor editAs="oneCell">
    <xdr:from>
      <xdr:col>2</xdr:col>
      <xdr:colOff>495300</xdr:colOff>
      <xdr:row>17</xdr:row>
      <xdr:rowOff>180975</xdr:rowOff>
    </xdr:from>
    <xdr:to>
      <xdr:col>2</xdr:col>
      <xdr:colOff>625071</xdr:colOff>
      <xdr:row>18</xdr:row>
      <xdr:rowOff>129540</xdr:rowOff>
    </xdr:to>
    <xdr:pic macro="[0]!Purpose">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10"/>
        <a:stretch>
          <a:fillRect/>
        </a:stretch>
      </xdr:blipFill>
      <xdr:spPr>
        <a:xfrm>
          <a:off x="4686300" y="7286625"/>
          <a:ext cx="137391" cy="133350"/>
        </a:xfrm>
        <a:prstGeom prst="rect">
          <a:avLst/>
        </a:prstGeom>
      </xdr:spPr>
    </xdr:pic>
    <xdr:clientData/>
  </xdr:twoCellAnchor>
  <xdr:twoCellAnchor editAs="oneCell">
    <xdr:from>
      <xdr:col>1</xdr:col>
      <xdr:colOff>1295400</xdr:colOff>
      <xdr:row>22</xdr:row>
      <xdr:rowOff>47625</xdr:rowOff>
    </xdr:from>
    <xdr:to>
      <xdr:col>1</xdr:col>
      <xdr:colOff>1425171</xdr:colOff>
      <xdr:row>22</xdr:row>
      <xdr:rowOff>169545</xdr:rowOff>
    </xdr:to>
    <xdr:pic macro="[0]!GeographicalScope">
      <xdr:nvPicPr>
        <xdr:cNvPr id="52" name="Picture 51">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10"/>
        <a:stretch>
          <a:fillRect/>
        </a:stretch>
      </xdr:blipFill>
      <xdr:spPr>
        <a:xfrm>
          <a:off x="3343275" y="7400925"/>
          <a:ext cx="137391" cy="133350"/>
        </a:xfrm>
        <a:prstGeom prst="rect">
          <a:avLst/>
        </a:prstGeom>
      </xdr:spPr>
    </xdr:pic>
    <xdr:clientData/>
  </xdr:twoCellAnchor>
  <xdr:twoCellAnchor editAs="oneCell">
    <xdr:from>
      <xdr:col>1</xdr:col>
      <xdr:colOff>1076325</xdr:colOff>
      <xdr:row>24</xdr:row>
      <xdr:rowOff>57150</xdr:rowOff>
    </xdr:from>
    <xdr:to>
      <xdr:col>1</xdr:col>
      <xdr:colOff>1206096</xdr:colOff>
      <xdr:row>24</xdr:row>
      <xdr:rowOff>190500</xdr:rowOff>
    </xdr:to>
    <xdr:pic macro="[0]!TemporalScope">
      <xdr:nvPicPr>
        <xdr:cNvPr id="53" name="Picture 52">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10"/>
        <a:stretch>
          <a:fillRect/>
        </a:stretch>
      </xdr:blipFill>
      <xdr:spPr>
        <a:xfrm>
          <a:off x="3124200" y="7800975"/>
          <a:ext cx="137391" cy="133350"/>
        </a:xfrm>
        <a:prstGeom prst="rect">
          <a:avLst/>
        </a:prstGeom>
      </xdr:spPr>
    </xdr:pic>
    <xdr:clientData/>
  </xdr:twoCellAnchor>
  <xdr:twoCellAnchor editAs="oneCell">
    <xdr:from>
      <xdr:col>1</xdr:col>
      <xdr:colOff>857250</xdr:colOff>
      <xdr:row>10</xdr:row>
      <xdr:rowOff>19050</xdr:rowOff>
    </xdr:from>
    <xdr:to>
      <xdr:col>1</xdr:col>
      <xdr:colOff>1002261</xdr:colOff>
      <xdr:row>10</xdr:row>
      <xdr:rowOff>135255</xdr:rowOff>
    </xdr:to>
    <xdr:pic macro="[0]!TRL">
      <xdr:nvPicPr>
        <xdr:cNvPr id="55" name="Picture 54">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10"/>
        <a:stretch>
          <a:fillRect/>
        </a:stretch>
      </xdr:blipFill>
      <xdr:spPr>
        <a:xfrm>
          <a:off x="2962275" y="4057650"/>
          <a:ext cx="143106" cy="112395"/>
        </a:xfrm>
        <a:prstGeom prst="rect">
          <a:avLst/>
        </a:prstGeom>
      </xdr:spPr>
    </xdr:pic>
    <xdr:clientData/>
  </xdr:twoCellAnchor>
  <xdr:oneCellAnchor>
    <xdr:from>
      <xdr:col>2</xdr:col>
      <xdr:colOff>600075</xdr:colOff>
      <xdr:row>35</xdr:row>
      <xdr:rowOff>133350</xdr:rowOff>
    </xdr:from>
    <xdr:ext cx="134124" cy="134124"/>
    <xdr:pic macro="[0]!Multifunctionality">
      <xdr:nvPicPr>
        <xdr:cNvPr id="35" name="Picture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2"/>
        <a:stretch>
          <a:fillRect/>
        </a:stretch>
      </xdr:blipFill>
      <xdr:spPr>
        <a:xfrm>
          <a:off x="4791075" y="10896600"/>
          <a:ext cx="134124" cy="13412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205740</xdr:colOff>
      <xdr:row>0</xdr:row>
      <xdr:rowOff>114300</xdr:rowOff>
    </xdr:from>
    <xdr:to>
      <xdr:col>8</xdr:col>
      <xdr:colOff>287020</xdr:colOff>
      <xdr:row>0</xdr:row>
      <xdr:rowOff>1780752</xdr:rowOff>
    </xdr:to>
    <xdr:grpSp>
      <xdr:nvGrpSpPr>
        <xdr:cNvPr id="54" name="Group 53">
          <a:extLst>
            <a:ext uri="{FF2B5EF4-FFF2-40B4-BE49-F238E27FC236}">
              <a16:creationId xmlns:a16="http://schemas.microsoft.com/office/drawing/2014/main" id="{B59B9B72-5480-466E-9CBB-51E891CEBDD7}"/>
            </a:ext>
          </a:extLst>
        </xdr:cNvPr>
        <xdr:cNvGrpSpPr/>
      </xdr:nvGrpSpPr>
      <xdr:grpSpPr>
        <a:xfrm>
          <a:off x="209550" y="114300"/>
          <a:ext cx="16456660" cy="1664547"/>
          <a:chOff x="171450" y="91441"/>
          <a:chExt cx="16462375" cy="1683597"/>
        </a:xfrm>
      </xdr:grpSpPr>
      <xdr:pic>
        <xdr:nvPicPr>
          <xdr:cNvPr id="55" name="Picture 54">
            <a:extLst>
              <a:ext uri="{FF2B5EF4-FFF2-40B4-BE49-F238E27FC236}">
                <a16:creationId xmlns:a16="http://schemas.microsoft.com/office/drawing/2014/main" id="{E9154988-766A-4DBD-BCB8-295BDD00B395}"/>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56" name="Group 55">
            <a:extLst>
              <a:ext uri="{FF2B5EF4-FFF2-40B4-BE49-F238E27FC236}">
                <a16:creationId xmlns:a16="http://schemas.microsoft.com/office/drawing/2014/main" id="{FC99ED28-BB94-4119-9EDF-2BE8DF07CD55}"/>
              </a:ext>
            </a:extLst>
          </xdr:cNvPr>
          <xdr:cNvGrpSpPr/>
        </xdr:nvGrpSpPr>
        <xdr:grpSpPr>
          <a:xfrm>
            <a:off x="167640" y="95251"/>
            <a:ext cx="16462375" cy="1675977"/>
            <a:chOff x="167640" y="95251"/>
            <a:chExt cx="16462375" cy="1675977"/>
          </a:xfrm>
        </xdr:grpSpPr>
        <xdr:grpSp>
          <xdr:nvGrpSpPr>
            <xdr:cNvPr id="57" name="Group 56">
              <a:extLst>
                <a:ext uri="{FF2B5EF4-FFF2-40B4-BE49-F238E27FC236}">
                  <a16:creationId xmlns:a16="http://schemas.microsoft.com/office/drawing/2014/main" id="{078AB375-36CE-4469-AE29-680518872B3B}"/>
                </a:ext>
              </a:extLst>
            </xdr:cNvPr>
            <xdr:cNvGrpSpPr/>
          </xdr:nvGrpSpPr>
          <xdr:grpSpPr>
            <a:xfrm>
              <a:off x="171450" y="91441"/>
              <a:ext cx="16462375" cy="1683597"/>
              <a:chOff x="171449" y="38100"/>
              <a:chExt cx="16659225" cy="1704975"/>
            </a:xfrm>
          </xdr:grpSpPr>
          <xdr:grpSp>
            <xdr:nvGrpSpPr>
              <xdr:cNvPr id="59" name="Group 58">
                <a:extLst>
                  <a:ext uri="{FF2B5EF4-FFF2-40B4-BE49-F238E27FC236}">
                    <a16:creationId xmlns:a16="http://schemas.microsoft.com/office/drawing/2014/main" id="{742E01EA-DC3A-41DC-916F-A92CBB9E04DB}"/>
                  </a:ext>
                </a:extLst>
              </xdr:cNvPr>
              <xdr:cNvGrpSpPr/>
            </xdr:nvGrpSpPr>
            <xdr:grpSpPr>
              <a:xfrm>
                <a:off x="171449" y="38100"/>
                <a:ext cx="16659225" cy="1704975"/>
                <a:chOff x="171449" y="38100"/>
                <a:chExt cx="16659225" cy="1704975"/>
              </a:xfrm>
            </xdr:grpSpPr>
            <xdr:pic>
              <xdr:nvPicPr>
                <xdr:cNvPr id="62" name="Picture 61" descr="catalisti.be">
                  <a:extLst>
                    <a:ext uri="{FF2B5EF4-FFF2-40B4-BE49-F238E27FC236}">
                      <a16:creationId xmlns:a16="http://schemas.microsoft.com/office/drawing/2014/main" id="{BCFF2ED5-5CF1-4F4B-ABF5-EF095FCB22A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3" name="Rectangle 62">
                  <a:extLst>
                    <a:ext uri="{FF2B5EF4-FFF2-40B4-BE49-F238E27FC236}">
                      <a16:creationId xmlns:a16="http://schemas.microsoft.com/office/drawing/2014/main" id="{CBF31E41-F43E-425C-8939-BD07BFF82A9C}"/>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64" name="Rectangle: Rounded Corners 63">
                  <a:extLst>
                    <a:ext uri="{FF2B5EF4-FFF2-40B4-BE49-F238E27FC236}">
                      <a16:creationId xmlns:a16="http://schemas.microsoft.com/office/drawing/2014/main" id="{41596BD8-55B1-4D94-BB8D-C61138803E9B}"/>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65" name="Picture 64">
                  <a:extLst>
                    <a:ext uri="{FF2B5EF4-FFF2-40B4-BE49-F238E27FC236}">
                      <a16:creationId xmlns:a16="http://schemas.microsoft.com/office/drawing/2014/main" id="{9A50D6F0-DFB6-45DE-A600-62A67C5AA0B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66" name="Picture 65">
                  <a:extLst>
                    <a:ext uri="{FF2B5EF4-FFF2-40B4-BE49-F238E27FC236}">
                      <a16:creationId xmlns:a16="http://schemas.microsoft.com/office/drawing/2014/main" id="{3CD215C9-D2FB-4979-B0CC-B4E694FAD4F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67" name="Picture 66">
                  <a:extLst>
                    <a:ext uri="{FF2B5EF4-FFF2-40B4-BE49-F238E27FC236}">
                      <a16:creationId xmlns:a16="http://schemas.microsoft.com/office/drawing/2014/main" id="{6B858675-7D63-41EE-A882-A65050D2005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68" name="Picture 67">
                  <a:extLst>
                    <a:ext uri="{FF2B5EF4-FFF2-40B4-BE49-F238E27FC236}">
                      <a16:creationId xmlns:a16="http://schemas.microsoft.com/office/drawing/2014/main" id="{ABE98DA8-798B-4621-BE5E-7868EC6596C3}"/>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60" name="Picture 59">
                <a:extLst>
                  <a:ext uri="{FF2B5EF4-FFF2-40B4-BE49-F238E27FC236}">
                    <a16:creationId xmlns:a16="http://schemas.microsoft.com/office/drawing/2014/main" id="{37825733-2967-458A-BFED-4DDED6E36D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61" name="TextBox 60">
                <a:extLst>
                  <a:ext uri="{FF2B5EF4-FFF2-40B4-BE49-F238E27FC236}">
                    <a16:creationId xmlns:a16="http://schemas.microsoft.com/office/drawing/2014/main" id="{F1F70846-E897-42AE-80AC-E13AD24D0839}"/>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58" name="Picture 57">
              <a:extLst>
                <a:ext uri="{FF2B5EF4-FFF2-40B4-BE49-F238E27FC236}">
                  <a16:creationId xmlns:a16="http://schemas.microsoft.com/office/drawing/2014/main" id="{BD7D12D9-2023-4C9C-B107-72611CC8D73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1015365</xdr:colOff>
      <xdr:row>4</xdr:row>
      <xdr:rowOff>129540</xdr:rowOff>
    </xdr:from>
    <xdr:to>
      <xdr:col>0</xdr:col>
      <xdr:colOff>1624965</xdr:colOff>
      <xdr:row>7</xdr:row>
      <xdr:rowOff>129540</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1011555" y="2495550"/>
          <a:ext cx="609600" cy="647700"/>
          <a:chOff x="13464540" y="68580"/>
          <a:chExt cx="609600" cy="662940"/>
        </a:xfrm>
      </xdr:grpSpPr>
      <xdr:pic macro="[0]!Next_worksheet">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3" name="TextBox 12">
            <a:extLst>
              <a:ext uri="{FF2B5EF4-FFF2-40B4-BE49-F238E27FC236}">
                <a16:creationId xmlns:a16="http://schemas.microsoft.com/office/drawing/2014/main" id="{00000000-0008-0000-0400-00000D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358140</xdr:colOff>
      <xdr:row>4</xdr:row>
      <xdr:rowOff>114300</xdr:rowOff>
    </xdr:from>
    <xdr:to>
      <xdr:col>0</xdr:col>
      <xdr:colOff>967740</xdr:colOff>
      <xdr:row>7</xdr:row>
      <xdr:rowOff>131445</xdr:rowOff>
    </xdr:to>
    <xdr:grpSp>
      <xdr:nvGrpSpPr>
        <xdr:cNvPr id="14" name="Group 13">
          <a:extLst>
            <a:ext uri="{FF2B5EF4-FFF2-40B4-BE49-F238E27FC236}">
              <a16:creationId xmlns:a16="http://schemas.microsoft.com/office/drawing/2014/main" id="{00000000-0008-0000-0400-00000E000000}"/>
            </a:ext>
          </a:extLst>
        </xdr:cNvPr>
        <xdr:cNvGrpSpPr/>
      </xdr:nvGrpSpPr>
      <xdr:grpSpPr>
        <a:xfrm>
          <a:off x="361950" y="2476500"/>
          <a:ext cx="609600" cy="668655"/>
          <a:chOff x="12801600" y="129540"/>
          <a:chExt cx="609600" cy="685800"/>
        </a:xfrm>
      </xdr:grpSpPr>
      <xdr:pic macro="[0]!Previous_worksheet">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4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oneCell">
    <xdr:from>
      <xdr:col>0</xdr:col>
      <xdr:colOff>457200</xdr:colOff>
      <xdr:row>46</xdr:row>
      <xdr:rowOff>38100</xdr:rowOff>
    </xdr:from>
    <xdr:to>
      <xdr:col>0</xdr:col>
      <xdr:colOff>1360170</xdr:colOff>
      <xdr:row>50</xdr:row>
      <xdr:rowOff>9525</xdr:rowOff>
    </xdr:to>
    <xdr:grpSp>
      <xdr:nvGrpSpPr>
        <xdr:cNvPr id="17" name="Group 16">
          <a:extLst>
            <a:ext uri="{FF2B5EF4-FFF2-40B4-BE49-F238E27FC236}">
              <a16:creationId xmlns:a16="http://schemas.microsoft.com/office/drawing/2014/main" id="{00000000-0008-0000-0400-000011000000}"/>
            </a:ext>
          </a:extLst>
        </xdr:cNvPr>
        <xdr:cNvGrpSpPr/>
      </xdr:nvGrpSpPr>
      <xdr:grpSpPr>
        <a:xfrm>
          <a:off x="457200" y="13925550"/>
          <a:ext cx="901065" cy="735330"/>
          <a:chOff x="12771120" y="8145780"/>
          <a:chExt cx="906780" cy="739140"/>
        </a:xfrm>
      </xdr:grpSpPr>
      <xdr:pic macro="[0]!Top_of_page">
        <xdr:nvPicPr>
          <xdr:cNvPr id="18" name="Picture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19" name="TextBox 18">
            <a:extLst>
              <a:ext uri="{FF2B5EF4-FFF2-40B4-BE49-F238E27FC236}">
                <a16:creationId xmlns:a16="http://schemas.microsoft.com/office/drawing/2014/main" id="{00000000-0008-0000-0400-000013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2</xdr:col>
      <xdr:colOff>57150</xdr:colOff>
      <xdr:row>3</xdr:row>
      <xdr:rowOff>9525</xdr:rowOff>
    </xdr:from>
    <xdr:to>
      <xdr:col>2</xdr:col>
      <xdr:colOff>264432</xdr:colOff>
      <xdr:row>3</xdr:row>
      <xdr:rowOff>210710</xdr:rowOff>
    </xdr:to>
    <xdr:pic macro="[0]!MarketDescription">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0"/>
        <a:stretch>
          <a:fillRect/>
        </a:stretch>
      </xdr:blipFill>
      <xdr:spPr>
        <a:xfrm>
          <a:off x="4314825" y="2124075"/>
          <a:ext cx="207282" cy="201185"/>
        </a:xfrm>
        <a:prstGeom prst="rect">
          <a:avLst/>
        </a:prstGeom>
      </xdr:spPr>
    </xdr:pic>
    <xdr:clientData/>
  </xdr:twoCellAnchor>
  <xdr:twoCellAnchor editAs="oneCell">
    <xdr:from>
      <xdr:col>2</xdr:col>
      <xdr:colOff>466725</xdr:colOff>
      <xdr:row>34</xdr:row>
      <xdr:rowOff>47625</xdr:rowOff>
    </xdr:from>
    <xdr:to>
      <xdr:col>2</xdr:col>
      <xdr:colOff>606945</xdr:colOff>
      <xdr:row>34</xdr:row>
      <xdr:rowOff>177939</xdr:rowOff>
    </xdr:to>
    <xdr:pic macro="[0]!Policy">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1"/>
        <a:stretch>
          <a:fillRect/>
        </a:stretch>
      </xdr:blipFill>
      <xdr:spPr>
        <a:xfrm>
          <a:off x="4533900" y="12706350"/>
          <a:ext cx="140220" cy="1341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1011555</xdr:colOff>
      <xdr:row>4</xdr:row>
      <xdr:rowOff>207645</xdr:rowOff>
    </xdr:from>
    <xdr:to>
      <xdr:col>0</xdr:col>
      <xdr:colOff>1621155</xdr:colOff>
      <xdr:row>6</xdr:row>
      <xdr:rowOff>91440</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1007745" y="2478405"/>
          <a:ext cx="609600" cy="664845"/>
          <a:chOff x="13464540" y="68580"/>
          <a:chExt cx="609600" cy="662940"/>
        </a:xfrm>
      </xdr:grpSpPr>
      <xdr:pic macro="[0]!Next_worksheet">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3" name="TextBox 12">
            <a:extLst>
              <a:ext uri="{FF2B5EF4-FFF2-40B4-BE49-F238E27FC236}">
                <a16:creationId xmlns:a16="http://schemas.microsoft.com/office/drawing/2014/main" id="{00000000-0008-0000-0500-00000D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361950</xdr:colOff>
      <xdr:row>4</xdr:row>
      <xdr:rowOff>205740</xdr:rowOff>
    </xdr:from>
    <xdr:to>
      <xdr:col>0</xdr:col>
      <xdr:colOff>971550</xdr:colOff>
      <xdr:row>6</xdr:row>
      <xdr:rowOff>95250</xdr:rowOff>
    </xdr:to>
    <xdr:grpSp>
      <xdr:nvGrpSpPr>
        <xdr:cNvPr id="14" name="Group 13">
          <a:extLst>
            <a:ext uri="{FF2B5EF4-FFF2-40B4-BE49-F238E27FC236}">
              <a16:creationId xmlns:a16="http://schemas.microsoft.com/office/drawing/2014/main" id="{00000000-0008-0000-0500-00000E000000}"/>
            </a:ext>
          </a:extLst>
        </xdr:cNvPr>
        <xdr:cNvGrpSpPr/>
      </xdr:nvGrpSpPr>
      <xdr:grpSpPr>
        <a:xfrm>
          <a:off x="358140" y="2476500"/>
          <a:ext cx="609600" cy="662940"/>
          <a:chOff x="12801600" y="129540"/>
          <a:chExt cx="609600" cy="685800"/>
        </a:xfrm>
      </xdr:grpSpPr>
      <xdr:pic macro="[0]!Previous_worksheet">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5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175259</xdr:colOff>
      <xdr:row>6</xdr:row>
      <xdr:rowOff>283845</xdr:rowOff>
    </xdr:from>
    <xdr:to>
      <xdr:col>0</xdr:col>
      <xdr:colOff>1847849</xdr:colOff>
      <xdr:row>7</xdr:row>
      <xdr:rowOff>243840</xdr:rowOff>
    </xdr:to>
    <xdr:sp macro="[0]!Go_to_ME" textlink="">
      <xdr:nvSpPr>
        <xdr:cNvPr id="17" name="Rounded Rectangle 7" descr="ee101f01-a1c1-46f6-bb41-5bccaeeca09c">
          <a:hlinkClick xmlns:r="http://schemas.openxmlformats.org/officeDocument/2006/relationships" r:id="rId2"/>
          <a:extLst>
            <a:ext uri="{FF2B5EF4-FFF2-40B4-BE49-F238E27FC236}">
              <a16:creationId xmlns:a16="http://schemas.microsoft.com/office/drawing/2014/main" id="{00000000-0008-0000-0500-000011000000}"/>
            </a:ext>
          </a:extLst>
        </xdr:cNvPr>
        <xdr:cNvSpPr/>
      </xdr:nvSpPr>
      <xdr:spPr>
        <a:xfrm>
          <a:off x="171449" y="3343275"/>
          <a:ext cx="1685925"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Technical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169544</xdr:colOff>
      <xdr:row>7</xdr:row>
      <xdr:rowOff>344805</xdr:rowOff>
    </xdr:from>
    <xdr:to>
      <xdr:col>0</xdr:col>
      <xdr:colOff>1851659</xdr:colOff>
      <xdr:row>9</xdr:row>
      <xdr:rowOff>131445</xdr:rowOff>
    </xdr:to>
    <xdr:sp macro="[0]!Go_to_Economic" textlink="">
      <xdr:nvSpPr>
        <xdr:cNvPr id="18" name="Rounded Rectangle 7" descr="e753285e-c7c7-47fe-8f5e-11174b69989e">
          <a:hlinkClick xmlns:r="http://schemas.openxmlformats.org/officeDocument/2006/relationships" r:id="rId3"/>
          <a:extLst>
            <a:ext uri="{FF2B5EF4-FFF2-40B4-BE49-F238E27FC236}">
              <a16:creationId xmlns:a16="http://schemas.microsoft.com/office/drawing/2014/main" id="{00000000-0008-0000-0500-000012000000}"/>
            </a:ext>
          </a:extLst>
        </xdr:cNvPr>
        <xdr:cNvSpPr/>
      </xdr:nvSpPr>
      <xdr:spPr>
        <a:xfrm>
          <a:off x="161924" y="3790950"/>
          <a:ext cx="1685925"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Economic</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169544</xdr:colOff>
      <xdr:row>10</xdr:row>
      <xdr:rowOff>93345</xdr:rowOff>
    </xdr:from>
    <xdr:to>
      <xdr:col>0</xdr:col>
      <xdr:colOff>1851659</xdr:colOff>
      <xdr:row>12</xdr:row>
      <xdr:rowOff>93345</xdr:rowOff>
    </xdr:to>
    <xdr:sp macro="[0]!Go_to_Environmental" textlink="">
      <xdr:nvSpPr>
        <xdr:cNvPr id="19" name="Rounded Rectangle 7" descr="cbc0678e-0fd8-45ec-ae9b-122eb016ed8e">
          <a:hlinkClick xmlns:r="http://schemas.openxmlformats.org/officeDocument/2006/relationships" r:id="rId4"/>
          <a:extLst>
            <a:ext uri="{FF2B5EF4-FFF2-40B4-BE49-F238E27FC236}">
              <a16:creationId xmlns:a16="http://schemas.microsoft.com/office/drawing/2014/main" id="{00000000-0008-0000-0500-000013000000}"/>
            </a:ext>
          </a:extLst>
        </xdr:cNvPr>
        <xdr:cNvSpPr/>
      </xdr:nvSpPr>
      <xdr:spPr>
        <a:xfrm>
          <a:off x="161924" y="4229100"/>
          <a:ext cx="1685925"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Environmental</a:t>
          </a:r>
          <a:r>
            <a:rPr lang="nl-BE" sz="1100" b="1" baseline="0">
              <a:solidFill>
                <a:schemeClr val="accent5"/>
              </a:solidFill>
            </a:rPr>
            <a:t> data</a:t>
          </a:r>
          <a:endParaRPr lang="nl-BE" sz="1100" b="1">
            <a:solidFill>
              <a:schemeClr val="accent5"/>
            </a:solidFill>
          </a:endParaRPr>
        </a:p>
      </xdr:txBody>
    </xdr:sp>
    <xdr:clientData/>
  </xdr:twoCellAnchor>
  <xdr:twoCellAnchor editAs="oneCell">
    <xdr:from>
      <xdr:col>2</xdr:col>
      <xdr:colOff>1329690</xdr:colOff>
      <xdr:row>18</xdr:row>
      <xdr:rowOff>9525</xdr:rowOff>
    </xdr:from>
    <xdr:to>
      <xdr:col>2</xdr:col>
      <xdr:colOff>1465176</xdr:colOff>
      <xdr:row>19</xdr:row>
      <xdr:rowOff>15240</xdr:rowOff>
    </xdr:to>
    <xdr:pic macro="[0]!Whatif_Parameters">
      <xdr:nvPicPr>
        <xdr:cNvPr id="23" name="Picture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5"/>
        <a:stretch>
          <a:fillRect/>
        </a:stretch>
      </xdr:blipFill>
      <xdr:spPr>
        <a:xfrm>
          <a:off x="3529965" y="5334000"/>
          <a:ext cx="148821" cy="140970"/>
        </a:xfrm>
        <a:prstGeom prst="rect">
          <a:avLst/>
        </a:prstGeom>
      </xdr:spPr>
    </xdr:pic>
    <xdr:clientData/>
  </xdr:twoCellAnchor>
  <xdr:twoCellAnchor editAs="oneCell">
    <xdr:from>
      <xdr:col>0</xdr:col>
      <xdr:colOff>428625</xdr:colOff>
      <xdr:row>51</xdr:row>
      <xdr:rowOff>66675</xdr:rowOff>
    </xdr:from>
    <xdr:to>
      <xdr:col>0</xdr:col>
      <xdr:colOff>1335405</xdr:colOff>
      <xdr:row>56</xdr:row>
      <xdr:rowOff>95250</xdr:rowOff>
    </xdr:to>
    <xdr:grpSp>
      <xdr:nvGrpSpPr>
        <xdr:cNvPr id="24" name="Group 23">
          <a:extLst>
            <a:ext uri="{FF2B5EF4-FFF2-40B4-BE49-F238E27FC236}">
              <a16:creationId xmlns:a16="http://schemas.microsoft.com/office/drawing/2014/main" id="{00000000-0008-0000-0500-000018000000}"/>
            </a:ext>
          </a:extLst>
        </xdr:cNvPr>
        <xdr:cNvGrpSpPr/>
      </xdr:nvGrpSpPr>
      <xdr:grpSpPr>
        <a:xfrm>
          <a:off x="430530" y="10132695"/>
          <a:ext cx="904875" cy="741045"/>
          <a:chOff x="12771120" y="8145780"/>
          <a:chExt cx="906780" cy="739140"/>
        </a:xfrm>
      </xdr:grpSpPr>
      <xdr:pic macro="[0]!Top_of_page">
        <xdr:nvPicPr>
          <xdr:cNvPr id="25" name="Picture 2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26" name="TextBox 25">
            <a:extLst>
              <a:ext uri="{FF2B5EF4-FFF2-40B4-BE49-F238E27FC236}">
                <a16:creationId xmlns:a16="http://schemas.microsoft.com/office/drawing/2014/main" id="{00000000-0008-0000-0500-00001A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2</xdr:col>
      <xdr:colOff>38100</xdr:colOff>
      <xdr:row>3</xdr:row>
      <xdr:rowOff>123825</xdr:rowOff>
    </xdr:from>
    <xdr:to>
      <xdr:col>2</xdr:col>
      <xdr:colOff>171681</xdr:colOff>
      <xdr:row>4</xdr:row>
      <xdr:rowOff>114300</xdr:rowOff>
    </xdr:to>
    <xdr:pic macro="[0]!Pathways">
      <xdr:nvPicPr>
        <xdr:cNvPr id="40" name="Picture 39">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5"/>
        <a:stretch>
          <a:fillRect/>
        </a:stretch>
      </xdr:blipFill>
      <xdr:spPr>
        <a:xfrm>
          <a:off x="2085975" y="2486025"/>
          <a:ext cx="137391" cy="133350"/>
        </a:xfrm>
        <a:prstGeom prst="rect">
          <a:avLst/>
        </a:prstGeom>
      </xdr:spPr>
    </xdr:pic>
    <xdr:clientData/>
  </xdr:twoCellAnchor>
  <xdr:twoCellAnchor editAs="oneCell">
    <xdr:from>
      <xdr:col>0</xdr:col>
      <xdr:colOff>542925</xdr:colOff>
      <xdr:row>86</xdr:row>
      <xdr:rowOff>504825</xdr:rowOff>
    </xdr:from>
    <xdr:to>
      <xdr:col>0</xdr:col>
      <xdr:colOff>1449705</xdr:colOff>
      <xdr:row>88</xdr:row>
      <xdr:rowOff>19050</xdr:rowOff>
    </xdr:to>
    <xdr:grpSp>
      <xdr:nvGrpSpPr>
        <xdr:cNvPr id="34" name="Group 33">
          <a:extLst>
            <a:ext uri="{FF2B5EF4-FFF2-40B4-BE49-F238E27FC236}">
              <a16:creationId xmlns:a16="http://schemas.microsoft.com/office/drawing/2014/main" id="{00000000-0008-0000-0500-000022000000}"/>
            </a:ext>
          </a:extLst>
        </xdr:cNvPr>
        <xdr:cNvGrpSpPr/>
      </xdr:nvGrpSpPr>
      <xdr:grpSpPr>
        <a:xfrm>
          <a:off x="544830" y="19375755"/>
          <a:ext cx="904875" cy="727710"/>
          <a:chOff x="12771120" y="8145780"/>
          <a:chExt cx="906780" cy="739140"/>
        </a:xfrm>
      </xdr:grpSpPr>
      <xdr:pic macro="[0]!Top_of_page">
        <xdr:nvPicPr>
          <xdr:cNvPr id="35" name="Picture 34">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6" name="TextBox 35">
            <a:extLst>
              <a:ext uri="{FF2B5EF4-FFF2-40B4-BE49-F238E27FC236}">
                <a16:creationId xmlns:a16="http://schemas.microsoft.com/office/drawing/2014/main" id="{00000000-0008-0000-0500-000024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absolute">
    <xdr:from>
      <xdr:col>0</xdr:col>
      <xdr:colOff>175259</xdr:colOff>
      <xdr:row>17</xdr:row>
      <xdr:rowOff>15240</xdr:rowOff>
    </xdr:from>
    <xdr:to>
      <xdr:col>0</xdr:col>
      <xdr:colOff>1809749</xdr:colOff>
      <xdr:row>19</xdr:row>
      <xdr:rowOff>55245</xdr:rowOff>
    </xdr:to>
    <xdr:sp macro="[0]!Go_to_summary" textlink="">
      <xdr:nvSpPr>
        <xdr:cNvPr id="37" name="Rounded Rectangle 25" descr="89d3149a-a1c2-4e69-823f-d023dec23067">
          <a:hlinkClick xmlns:r="http://schemas.openxmlformats.org/officeDocument/2006/relationships" r:id="rId6"/>
          <a:extLst>
            <a:ext uri="{FF2B5EF4-FFF2-40B4-BE49-F238E27FC236}">
              <a16:creationId xmlns:a16="http://schemas.microsoft.com/office/drawing/2014/main" id="{00000000-0008-0000-0500-000025000000}"/>
            </a:ext>
          </a:extLst>
        </xdr:cNvPr>
        <xdr:cNvSpPr/>
      </xdr:nvSpPr>
      <xdr:spPr>
        <a:xfrm>
          <a:off x="171449" y="53530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1</a:t>
          </a:r>
        </a:p>
      </xdr:txBody>
    </xdr:sp>
    <xdr:clientData/>
  </xdr:twoCellAnchor>
  <xdr:twoCellAnchor editAs="absolute">
    <xdr:from>
      <xdr:col>0</xdr:col>
      <xdr:colOff>171450</xdr:colOff>
      <xdr:row>20</xdr:row>
      <xdr:rowOff>36195</xdr:rowOff>
    </xdr:from>
    <xdr:to>
      <xdr:col>0</xdr:col>
      <xdr:colOff>1805940</xdr:colOff>
      <xdr:row>22</xdr:row>
      <xdr:rowOff>97155</xdr:rowOff>
    </xdr:to>
    <xdr:sp macro="" textlink="">
      <xdr:nvSpPr>
        <xdr:cNvPr id="38" name="Rounded Rectangle 25" descr="f132d58e-6424-4025-b7ba-253d9580212f">
          <a:hlinkClick xmlns:r="http://schemas.openxmlformats.org/officeDocument/2006/relationships" r:id="rId7"/>
          <a:extLst>
            <a:ext uri="{FF2B5EF4-FFF2-40B4-BE49-F238E27FC236}">
              <a16:creationId xmlns:a16="http://schemas.microsoft.com/office/drawing/2014/main" id="{00000000-0008-0000-0500-000026000000}"/>
            </a:ext>
          </a:extLst>
        </xdr:cNvPr>
        <xdr:cNvSpPr/>
      </xdr:nvSpPr>
      <xdr:spPr>
        <a:xfrm>
          <a:off x="161925" y="581977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2</a:t>
          </a:r>
        </a:p>
      </xdr:txBody>
    </xdr:sp>
    <xdr:clientData/>
  </xdr:twoCellAnchor>
  <xdr:twoCellAnchor editAs="absolute">
    <xdr:from>
      <xdr:col>0</xdr:col>
      <xdr:colOff>171450</xdr:colOff>
      <xdr:row>23</xdr:row>
      <xdr:rowOff>59055</xdr:rowOff>
    </xdr:from>
    <xdr:to>
      <xdr:col>0</xdr:col>
      <xdr:colOff>1805940</xdr:colOff>
      <xdr:row>25</xdr:row>
      <xdr:rowOff>110490</xdr:rowOff>
    </xdr:to>
    <xdr:sp macro="" textlink="">
      <xdr:nvSpPr>
        <xdr:cNvPr id="39" name="Rounded Rectangle 25" descr="2319919e-57d4-41c0-8065-566c8f156c00">
          <a:hlinkClick xmlns:r="http://schemas.openxmlformats.org/officeDocument/2006/relationships" r:id="rId8"/>
          <a:extLst>
            <a:ext uri="{FF2B5EF4-FFF2-40B4-BE49-F238E27FC236}">
              <a16:creationId xmlns:a16="http://schemas.microsoft.com/office/drawing/2014/main" id="{00000000-0008-0000-0500-000027000000}"/>
            </a:ext>
          </a:extLst>
        </xdr:cNvPr>
        <xdr:cNvSpPr/>
      </xdr:nvSpPr>
      <xdr:spPr>
        <a:xfrm>
          <a:off x="161925" y="627697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3</a:t>
          </a:r>
        </a:p>
      </xdr:txBody>
    </xdr:sp>
    <xdr:clientData/>
  </xdr:twoCellAnchor>
  <xdr:twoCellAnchor editAs="absolute">
    <xdr:from>
      <xdr:col>0</xdr:col>
      <xdr:colOff>171450</xdr:colOff>
      <xdr:row>26</xdr:row>
      <xdr:rowOff>91440</xdr:rowOff>
    </xdr:from>
    <xdr:to>
      <xdr:col>0</xdr:col>
      <xdr:colOff>1805940</xdr:colOff>
      <xdr:row>28</xdr:row>
      <xdr:rowOff>131445</xdr:rowOff>
    </xdr:to>
    <xdr:sp macro="" textlink="">
      <xdr:nvSpPr>
        <xdr:cNvPr id="56" name="Rounded Rectangle 25" descr="29b8d09a-0a87-4934-8c12-8ed7f9e0fde1">
          <a:hlinkClick xmlns:r="http://schemas.openxmlformats.org/officeDocument/2006/relationships" r:id="rId9"/>
          <a:extLst>
            <a:ext uri="{FF2B5EF4-FFF2-40B4-BE49-F238E27FC236}">
              <a16:creationId xmlns:a16="http://schemas.microsoft.com/office/drawing/2014/main" id="{00000000-0008-0000-0500-000038000000}"/>
            </a:ext>
          </a:extLst>
        </xdr:cNvPr>
        <xdr:cNvSpPr/>
      </xdr:nvSpPr>
      <xdr:spPr>
        <a:xfrm>
          <a:off x="161925" y="67246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4</a:t>
          </a:r>
        </a:p>
      </xdr:txBody>
    </xdr:sp>
    <xdr:clientData/>
  </xdr:twoCellAnchor>
  <xdr:oneCellAnchor>
    <xdr:from>
      <xdr:col>2</xdr:col>
      <xdr:colOff>2011682</xdr:colOff>
      <xdr:row>2</xdr:row>
      <xdr:rowOff>7620</xdr:rowOff>
    </xdr:from>
    <xdr:ext cx="137237" cy="133200"/>
    <xdr:pic>
      <xdr:nvPicPr>
        <xdr:cNvPr id="4" name="Picture 3">
          <a:extLst>
            <a:ext uri="{FF2B5EF4-FFF2-40B4-BE49-F238E27FC236}">
              <a16:creationId xmlns:a16="http://schemas.microsoft.com/office/drawing/2014/main" id="{EDCDAE3C-24E1-4AF7-9EB1-3E80E9C78FB1}"/>
            </a:ext>
          </a:extLst>
        </xdr:cNvPr>
        <xdr:cNvPicPr>
          <a:picLocks noChangeAspect="1"/>
        </xdr:cNvPicPr>
      </xdr:nvPicPr>
      <xdr:blipFill>
        <a:blip xmlns:r="http://schemas.openxmlformats.org/officeDocument/2006/relationships" r:embed="rId5"/>
        <a:stretch>
          <a:fillRect/>
        </a:stretch>
      </xdr:blipFill>
      <xdr:spPr>
        <a:xfrm>
          <a:off x="4211957" y="1988820"/>
          <a:ext cx="137237" cy="133200"/>
        </a:xfrm>
        <a:prstGeom prst="rect">
          <a:avLst/>
        </a:prstGeom>
      </xdr:spPr>
    </xdr:pic>
    <xdr:clientData/>
  </xdr:oneCellAnchor>
  <xdr:twoCellAnchor editAs="oneCell">
    <xdr:from>
      <xdr:col>2</xdr:col>
      <xdr:colOff>476251</xdr:colOff>
      <xdr:row>11</xdr:row>
      <xdr:rowOff>30480</xdr:rowOff>
    </xdr:from>
    <xdr:to>
      <xdr:col>2</xdr:col>
      <xdr:colOff>605868</xdr:colOff>
      <xdr:row>12</xdr:row>
      <xdr:rowOff>1755</xdr:rowOff>
    </xdr:to>
    <xdr:pic>
      <xdr:nvPicPr>
        <xdr:cNvPr id="6" name="Picture 5">
          <a:extLst>
            <a:ext uri="{FF2B5EF4-FFF2-40B4-BE49-F238E27FC236}">
              <a16:creationId xmlns:a16="http://schemas.microsoft.com/office/drawing/2014/main" id="{9E7568CE-0BC5-4494-92EF-22DE51F172C5}"/>
            </a:ext>
          </a:extLst>
        </xdr:cNvPr>
        <xdr:cNvPicPr>
          <a:picLocks noChangeAspect="1"/>
        </xdr:cNvPicPr>
      </xdr:nvPicPr>
      <xdr:blipFill>
        <a:blip xmlns:r="http://schemas.openxmlformats.org/officeDocument/2006/relationships" r:embed="rId5"/>
        <a:stretch>
          <a:fillRect/>
        </a:stretch>
      </xdr:blipFill>
      <xdr:spPr>
        <a:xfrm>
          <a:off x="2676526" y="4307205"/>
          <a:ext cx="129617" cy="142725"/>
        </a:xfrm>
        <a:prstGeom prst="rect">
          <a:avLst/>
        </a:prstGeom>
      </xdr:spPr>
    </xdr:pic>
    <xdr:clientData/>
  </xdr:twoCellAnchor>
  <xdr:oneCellAnchor>
    <xdr:from>
      <xdr:col>2</xdr:col>
      <xdr:colOff>2266950</xdr:colOff>
      <xdr:row>32</xdr:row>
      <xdr:rowOff>19050</xdr:rowOff>
    </xdr:from>
    <xdr:ext cx="137391" cy="133350"/>
    <xdr:pic>
      <xdr:nvPicPr>
        <xdr:cNvPr id="60" name="Picture 59">
          <a:extLst>
            <a:ext uri="{FF2B5EF4-FFF2-40B4-BE49-F238E27FC236}">
              <a16:creationId xmlns:a16="http://schemas.microsoft.com/office/drawing/2014/main" id="{6745DAE6-DAED-4FB7-9F35-8E12ABE5CF07}"/>
            </a:ext>
          </a:extLst>
        </xdr:cNvPr>
        <xdr:cNvPicPr>
          <a:picLocks noChangeAspect="1"/>
        </xdr:cNvPicPr>
      </xdr:nvPicPr>
      <xdr:blipFill>
        <a:blip xmlns:r="http://schemas.openxmlformats.org/officeDocument/2006/relationships" r:embed="rId5"/>
        <a:stretch>
          <a:fillRect/>
        </a:stretch>
      </xdr:blipFill>
      <xdr:spPr>
        <a:xfrm>
          <a:off x="4400550" y="7743825"/>
          <a:ext cx="137391" cy="133350"/>
        </a:xfrm>
        <a:prstGeom prst="rect">
          <a:avLst/>
        </a:prstGeom>
      </xdr:spPr>
    </xdr:pic>
    <xdr:clientData/>
  </xdr:oneCellAnchor>
  <xdr:twoCellAnchor>
    <xdr:from>
      <xdr:col>0</xdr:col>
      <xdr:colOff>171450</xdr:colOff>
      <xdr:row>0</xdr:row>
      <xdr:rowOff>91441</xdr:rowOff>
    </xdr:from>
    <xdr:to>
      <xdr:col>11</xdr:col>
      <xdr:colOff>22225</xdr:colOff>
      <xdr:row>0</xdr:row>
      <xdr:rowOff>1775038</xdr:rowOff>
    </xdr:to>
    <xdr:grpSp>
      <xdr:nvGrpSpPr>
        <xdr:cNvPr id="7" name="Group 6">
          <a:extLst>
            <a:ext uri="{FF2B5EF4-FFF2-40B4-BE49-F238E27FC236}">
              <a16:creationId xmlns:a16="http://schemas.microsoft.com/office/drawing/2014/main" id="{F910D8A1-1C12-447E-A4FE-94B8BF5C05AD}"/>
            </a:ext>
          </a:extLst>
        </xdr:cNvPr>
        <xdr:cNvGrpSpPr/>
      </xdr:nvGrpSpPr>
      <xdr:grpSpPr>
        <a:xfrm>
          <a:off x="167640" y="95251"/>
          <a:ext cx="16462375" cy="1675977"/>
          <a:chOff x="171450" y="91441"/>
          <a:chExt cx="16462375" cy="1683597"/>
        </a:xfrm>
      </xdr:grpSpPr>
      <xdr:pic>
        <xdr:nvPicPr>
          <xdr:cNvPr id="44" name="Picture 43">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10"/>
          <a:stretch>
            <a:fillRect/>
          </a:stretch>
        </xdr:blipFill>
        <xdr:spPr>
          <a:xfrm>
            <a:off x="10498362" y="266337"/>
            <a:ext cx="1597284" cy="593779"/>
          </a:xfrm>
          <a:prstGeom prst="rect">
            <a:avLst/>
          </a:prstGeom>
        </xdr:spPr>
      </xdr:pic>
      <xdr:grpSp>
        <xdr:nvGrpSpPr>
          <xdr:cNvPr id="5" name="Group 4">
            <a:extLst>
              <a:ext uri="{FF2B5EF4-FFF2-40B4-BE49-F238E27FC236}">
                <a16:creationId xmlns:a16="http://schemas.microsoft.com/office/drawing/2014/main" id="{B205781D-EF7E-4C02-B7CA-E2C6BA87BBD2}"/>
              </a:ext>
            </a:extLst>
          </xdr:cNvPr>
          <xdr:cNvGrpSpPr/>
        </xdr:nvGrpSpPr>
        <xdr:grpSpPr>
          <a:xfrm>
            <a:off x="167640" y="95251"/>
            <a:ext cx="16462375" cy="1675977"/>
            <a:chOff x="167640" y="95251"/>
            <a:chExt cx="16462375" cy="1675977"/>
          </a:xfrm>
        </xdr:grpSpPr>
        <xdr:grpSp>
          <xdr:nvGrpSpPr>
            <xdr:cNvPr id="43" name="Group 42">
              <a:extLst>
                <a:ext uri="{FF2B5EF4-FFF2-40B4-BE49-F238E27FC236}">
                  <a16:creationId xmlns:a16="http://schemas.microsoft.com/office/drawing/2014/main" id="{00000000-0008-0000-0500-00002B000000}"/>
                </a:ext>
              </a:extLst>
            </xdr:cNvPr>
            <xdr:cNvGrpSpPr/>
          </xdr:nvGrpSpPr>
          <xdr:grpSpPr>
            <a:xfrm>
              <a:off x="171450" y="91441"/>
              <a:ext cx="16462375" cy="1683597"/>
              <a:chOff x="171449" y="38100"/>
              <a:chExt cx="16659225" cy="1704975"/>
            </a:xfrm>
          </xdr:grpSpPr>
          <xdr:grpSp>
            <xdr:nvGrpSpPr>
              <xdr:cNvPr id="45" name="Group 44">
                <a:extLst>
                  <a:ext uri="{FF2B5EF4-FFF2-40B4-BE49-F238E27FC236}">
                    <a16:creationId xmlns:a16="http://schemas.microsoft.com/office/drawing/2014/main" id="{00000000-0008-0000-0500-00002D000000}"/>
                  </a:ext>
                </a:extLst>
              </xdr:cNvPr>
              <xdr:cNvGrpSpPr/>
            </xdr:nvGrpSpPr>
            <xdr:grpSpPr>
              <a:xfrm>
                <a:off x="171449" y="38100"/>
                <a:ext cx="16659225" cy="1704975"/>
                <a:chOff x="171449" y="38100"/>
                <a:chExt cx="16659225" cy="1704975"/>
              </a:xfrm>
            </xdr:grpSpPr>
            <xdr:pic>
              <xdr:nvPicPr>
                <xdr:cNvPr id="49" name="Picture 48" descr="catalisti.be">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0" name="Rectangle 49">
                  <a:extLst>
                    <a:ext uri="{FF2B5EF4-FFF2-40B4-BE49-F238E27FC236}">
                      <a16:creationId xmlns:a16="http://schemas.microsoft.com/office/drawing/2014/main" id="{00000000-0008-0000-0500-000032000000}"/>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51" name="Rectangle: Rounded Corners 50">
                  <a:extLst>
                    <a:ext uri="{FF2B5EF4-FFF2-40B4-BE49-F238E27FC236}">
                      <a16:creationId xmlns:a16="http://schemas.microsoft.com/office/drawing/2014/main" id="{00000000-0008-0000-0500-000033000000}"/>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52" name="Picture 51">
                  <a:extLst>
                    <a:ext uri="{FF2B5EF4-FFF2-40B4-BE49-F238E27FC236}">
                      <a16:creationId xmlns:a16="http://schemas.microsoft.com/office/drawing/2014/main" id="{00000000-0008-0000-0500-00003400000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53" name="Picture 52">
                  <a:extLst>
                    <a:ext uri="{FF2B5EF4-FFF2-40B4-BE49-F238E27FC236}">
                      <a16:creationId xmlns:a16="http://schemas.microsoft.com/office/drawing/2014/main" id="{00000000-0008-0000-0500-000035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54" name="Picture 53">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55" name="Picture 54">
                  <a:extLst>
                    <a:ext uri="{FF2B5EF4-FFF2-40B4-BE49-F238E27FC236}">
                      <a16:creationId xmlns:a16="http://schemas.microsoft.com/office/drawing/2014/main" id="{00000000-0008-0000-0500-000037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46" name="Picture 45">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48" name="TextBox 47">
                <a:extLst>
                  <a:ext uri="{FF2B5EF4-FFF2-40B4-BE49-F238E27FC236}">
                    <a16:creationId xmlns:a16="http://schemas.microsoft.com/office/drawing/2014/main" id="{00000000-0008-0000-0500-000030000000}"/>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3" name="Picture 2">
              <a:extLst>
                <a:ext uri="{FF2B5EF4-FFF2-40B4-BE49-F238E27FC236}">
                  <a16:creationId xmlns:a16="http://schemas.microsoft.com/office/drawing/2014/main" id="{C2687B5A-31D4-42E6-B44C-9748775281C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272415</xdr:colOff>
      <xdr:row>0</xdr:row>
      <xdr:rowOff>95250</xdr:rowOff>
    </xdr:from>
    <xdr:to>
      <xdr:col>10</xdr:col>
      <xdr:colOff>1317625</xdr:colOff>
      <xdr:row>0</xdr:row>
      <xdr:rowOff>1773132</xdr:rowOff>
    </xdr:to>
    <xdr:grpSp>
      <xdr:nvGrpSpPr>
        <xdr:cNvPr id="73" name="Group 72">
          <a:extLst>
            <a:ext uri="{FF2B5EF4-FFF2-40B4-BE49-F238E27FC236}">
              <a16:creationId xmlns:a16="http://schemas.microsoft.com/office/drawing/2014/main" id="{C56C25F8-AA6B-4FC7-85D5-E9C8A28E843F}"/>
            </a:ext>
          </a:extLst>
        </xdr:cNvPr>
        <xdr:cNvGrpSpPr/>
      </xdr:nvGrpSpPr>
      <xdr:grpSpPr>
        <a:xfrm>
          <a:off x="274320" y="91440"/>
          <a:ext cx="16460470" cy="1677882"/>
          <a:chOff x="171450" y="91441"/>
          <a:chExt cx="16462375" cy="1683597"/>
        </a:xfrm>
      </xdr:grpSpPr>
      <xdr:pic>
        <xdr:nvPicPr>
          <xdr:cNvPr id="74" name="Picture 73">
            <a:extLst>
              <a:ext uri="{FF2B5EF4-FFF2-40B4-BE49-F238E27FC236}">
                <a16:creationId xmlns:a16="http://schemas.microsoft.com/office/drawing/2014/main" id="{8D9D1C7B-1165-4B3E-8B2C-FB9BC5983797}"/>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75" name="Group 74">
            <a:extLst>
              <a:ext uri="{FF2B5EF4-FFF2-40B4-BE49-F238E27FC236}">
                <a16:creationId xmlns:a16="http://schemas.microsoft.com/office/drawing/2014/main" id="{21ED8E65-AA32-4487-AA6E-BAE543CB27DC}"/>
              </a:ext>
            </a:extLst>
          </xdr:cNvPr>
          <xdr:cNvGrpSpPr/>
        </xdr:nvGrpSpPr>
        <xdr:grpSpPr>
          <a:xfrm>
            <a:off x="167640" y="95251"/>
            <a:ext cx="16462375" cy="1675977"/>
            <a:chOff x="167640" y="95251"/>
            <a:chExt cx="16462375" cy="1675977"/>
          </a:xfrm>
        </xdr:grpSpPr>
        <xdr:grpSp>
          <xdr:nvGrpSpPr>
            <xdr:cNvPr id="76" name="Group 75">
              <a:extLst>
                <a:ext uri="{FF2B5EF4-FFF2-40B4-BE49-F238E27FC236}">
                  <a16:creationId xmlns:a16="http://schemas.microsoft.com/office/drawing/2014/main" id="{CDDD1A7E-041A-47C8-8152-55040294918B}"/>
                </a:ext>
              </a:extLst>
            </xdr:cNvPr>
            <xdr:cNvGrpSpPr/>
          </xdr:nvGrpSpPr>
          <xdr:grpSpPr>
            <a:xfrm>
              <a:off x="171450" y="91441"/>
              <a:ext cx="16462375" cy="1683597"/>
              <a:chOff x="171449" y="38100"/>
              <a:chExt cx="16659225" cy="1704975"/>
            </a:xfrm>
          </xdr:grpSpPr>
          <xdr:grpSp>
            <xdr:nvGrpSpPr>
              <xdr:cNvPr id="78" name="Group 77">
                <a:extLst>
                  <a:ext uri="{FF2B5EF4-FFF2-40B4-BE49-F238E27FC236}">
                    <a16:creationId xmlns:a16="http://schemas.microsoft.com/office/drawing/2014/main" id="{0DD931E8-D369-4806-BC6B-9DEDF66FB688}"/>
                  </a:ext>
                </a:extLst>
              </xdr:cNvPr>
              <xdr:cNvGrpSpPr/>
            </xdr:nvGrpSpPr>
            <xdr:grpSpPr>
              <a:xfrm>
                <a:off x="171449" y="38100"/>
                <a:ext cx="16659225" cy="1704975"/>
                <a:chOff x="171449" y="38100"/>
                <a:chExt cx="16659225" cy="1704975"/>
              </a:xfrm>
            </xdr:grpSpPr>
            <xdr:pic>
              <xdr:nvPicPr>
                <xdr:cNvPr id="81" name="Picture 80" descr="catalisti.be">
                  <a:extLst>
                    <a:ext uri="{FF2B5EF4-FFF2-40B4-BE49-F238E27FC236}">
                      <a16:creationId xmlns:a16="http://schemas.microsoft.com/office/drawing/2014/main" id="{B151FC4A-FE6F-4A6C-910F-881AED504C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2" name="Rectangle 81">
                  <a:extLst>
                    <a:ext uri="{FF2B5EF4-FFF2-40B4-BE49-F238E27FC236}">
                      <a16:creationId xmlns:a16="http://schemas.microsoft.com/office/drawing/2014/main" id="{4C7370AB-CE96-4480-8B3D-CA86CC248304}"/>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83" name="Rectangle: Rounded Corners 82">
                  <a:extLst>
                    <a:ext uri="{FF2B5EF4-FFF2-40B4-BE49-F238E27FC236}">
                      <a16:creationId xmlns:a16="http://schemas.microsoft.com/office/drawing/2014/main" id="{8A696E1D-30DE-4CA6-9A38-0835498C5B11}"/>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84" name="Picture 83">
                  <a:extLst>
                    <a:ext uri="{FF2B5EF4-FFF2-40B4-BE49-F238E27FC236}">
                      <a16:creationId xmlns:a16="http://schemas.microsoft.com/office/drawing/2014/main" id="{BFFDA5D4-FFEE-47A4-AD6C-B0BC6BE55F4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85" name="Picture 84">
                  <a:extLst>
                    <a:ext uri="{FF2B5EF4-FFF2-40B4-BE49-F238E27FC236}">
                      <a16:creationId xmlns:a16="http://schemas.microsoft.com/office/drawing/2014/main" id="{B67C4E00-98DF-49F6-826C-F1ABD9E4A57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86" name="Picture 85">
                  <a:extLst>
                    <a:ext uri="{FF2B5EF4-FFF2-40B4-BE49-F238E27FC236}">
                      <a16:creationId xmlns:a16="http://schemas.microsoft.com/office/drawing/2014/main" id="{B7905BA1-EB97-44DA-B456-EECFDE8D536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87" name="Picture 86">
                  <a:extLst>
                    <a:ext uri="{FF2B5EF4-FFF2-40B4-BE49-F238E27FC236}">
                      <a16:creationId xmlns:a16="http://schemas.microsoft.com/office/drawing/2014/main" id="{6228CFB7-AEBE-4510-8A1D-474237AC0E45}"/>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79" name="Picture 78">
                <a:extLst>
                  <a:ext uri="{FF2B5EF4-FFF2-40B4-BE49-F238E27FC236}">
                    <a16:creationId xmlns:a16="http://schemas.microsoft.com/office/drawing/2014/main" id="{ECF87A53-7498-41B6-BF2E-47C6E95E256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80" name="TextBox 79">
                <a:extLst>
                  <a:ext uri="{FF2B5EF4-FFF2-40B4-BE49-F238E27FC236}">
                    <a16:creationId xmlns:a16="http://schemas.microsoft.com/office/drawing/2014/main" id="{65CCE237-466D-4879-9F4E-A9582F9CF236}"/>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77" name="Picture 76">
              <a:extLst>
                <a:ext uri="{FF2B5EF4-FFF2-40B4-BE49-F238E27FC236}">
                  <a16:creationId xmlns:a16="http://schemas.microsoft.com/office/drawing/2014/main" id="{FD4FEB71-3C0B-4AAF-AEDC-BBBBB25B7ED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1019175</xdr:colOff>
      <xdr:row>4</xdr:row>
      <xdr:rowOff>123825</xdr:rowOff>
    </xdr:from>
    <xdr:to>
      <xdr:col>0</xdr:col>
      <xdr:colOff>1628775</xdr:colOff>
      <xdr:row>8</xdr:row>
      <xdr:rowOff>62865</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017270" y="2487930"/>
          <a:ext cx="609600" cy="504825"/>
          <a:chOff x="13464540" y="68580"/>
          <a:chExt cx="609600" cy="662940"/>
        </a:xfrm>
      </xdr:grpSpPr>
      <xdr:pic macro="[0]!Next_worksheet">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3" name="TextBox 12">
            <a:extLst>
              <a:ext uri="{FF2B5EF4-FFF2-40B4-BE49-F238E27FC236}">
                <a16:creationId xmlns:a16="http://schemas.microsoft.com/office/drawing/2014/main" id="{00000000-0008-0000-0600-00000D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352425</xdr:colOff>
      <xdr:row>4</xdr:row>
      <xdr:rowOff>114300</xdr:rowOff>
    </xdr:from>
    <xdr:to>
      <xdr:col>0</xdr:col>
      <xdr:colOff>962025</xdr:colOff>
      <xdr:row>8</xdr:row>
      <xdr:rowOff>72390</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354330" y="2476500"/>
          <a:ext cx="609600" cy="529590"/>
          <a:chOff x="12801600" y="129540"/>
          <a:chExt cx="609600" cy="685800"/>
        </a:xfrm>
      </xdr:grpSpPr>
      <xdr:pic macro="[0]!Previous_worksheet">
        <xdr:nvPicPr>
          <xdr:cNvPr id="15" name="Picture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6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oneCell">
    <xdr:from>
      <xdr:col>0</xdr:col>
      <xdr:colOff>428625</xdr:colOff>
      <xdr:row>69</xdr:row>
      <xdr:rowOff>85725</xdr:rowOff>
    </xdr:from>
    <xdr:to>
      <xdr:col>0</xdr:col>
      <xdr:colOff>1335405</xdr:colOff>
      <xdr:row>74</xdr:row>
      <xdr:rowOff>100965</xdr:rowOff>
    </xdr:to>
    <xdr:grpSp>
      <xdr:nvGrpSpPr>
        <xdr:cNvPr id="26" name="Group 25">
          <a:extLst>
            <a:ext uri="{FF2B5EF4-FFF2-40B4-BE49-F238E27FC236}">
              <a16:creationId xmlns:a16="http://schemas.microsoft.com/office/drawing/2014/main" id="{00000000-0008-0000-0600-00001A000000}"/>
            </a:ext>
          </a:extLst>
        </xdr:cNvPr>
        <xdr:cNvGrpSpPr/>
      </xdr:nvGrpSpPr>
      <xdr:grpSpPr>
        <a:xfrm>
          <a:off x="430530" y="12051030"/>
          <a:ext cx="904875" cy="723900"/>
          <a:chOff x="12771120" y="8145780"/>
          <a:chExt cx="906780" cy="739140"/>
        </a:xfrm>
      </xdr:grpSpPr>
      <xdr:pic macro="[0]!Top_of_page">
        <xdr:nvPicPr>
          <xdr:cNvPr id="27" name="Picture 26">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28" name="TextBox 27">
            <a:extLst>
              <a:ext uri="{FF2B5EF4-FFF2-40B4-BE49-F238E27FC236}">
                <a16:creationId xmlns:a16="http://schemas.microsoft.com/office/drawing/2014/main" id="{00000000-0008-0000-0600-00001C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2</xdr:col>
      <xdr:colOff>809625</xdr:colOff>
      <xdr:row>2</xdr:row>
      <xdr:rowOff>133350</xdr:rowOff>
    </xdr:from>
    <xdr:to>
      <xdr:col>2</xdr:col>
      <xdr:colOff>1016907</xdr:colOff>
      <xdr:row>3</xdr:row>
      <xdr:rowOff>191660</xdr:rowOff>
    </xdr:to>
    <xdr:pic macro="[0]!Data_Technical">
      <xdr:nvPicPr>
        <xdr:cNvPr id="29" name="Picture 28">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0"/>
        <a:stretch>
          <a:fillRect/>
        </a:stretch>
      </xdr:blipFill>
      <xdr:spPr>
        <a:xfrm>
          <a:off x="4905375" y="2105025"/>
          <a:ext cx="207282" cy="201185"/>
        </a:xfrm>
        <a:prstGeom prst="rect">
          <a:avLst/>
        </a:prstGeom>
      </xdr:spPr>
    </xdr:pic>
    <xdr:clientData/>
  </xdr:twoCellAnchor>
  <xdr:twoCellAnchor editAs="oneCell">
    <xdr:from>
      <xdr:col>4</xdr:col>
      <xdr:colOff>695325</xdr:colOff>
      <xdr:row>7</xdr:row>
      <xdr:rowOff>9526</xdr:rowOff>
    </xdr:from>
    <xdr:to>
      <xdr:col>4</xdr:col>
      <xdr:colOff>832716</xdr:colOff>
      <xdr:row>8</xdr:row>
      <xdr:rowOff>1</xdr:rowOff>
    </xdr:to>
    <xdr:pic macro="[0]!Unit">
      <xdr:nvPicPr>
        <xdr:cNvPr id="30" name="Picture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10"/>
        <a:stretch>
          <a:fillRect/>
        </a:stretch>
      </xdr:blipFill>
      <xdr:spPr>
        <a:xfrm>
          <a:off x="8553450" y="3800476"/>
          <a:ext cx="137391" cy="133350"/>
        </a:xfrm>
        <a:prstGeom prst="rect">
          <a:avLst/>
        </a:prstGeom>
      </xdr:spPr>
    </xdr:pic>
    <xdr:clientData/>
  </xdr:twoCellAnchor>
  <xdr:twoCellAnchor editAs="oneCell">
    <xdr:from>
      <xdr:col>5</xdr:col>
      <xdr:colOff>1066800</xdr:colOff>
      <xdr:row>7</xdr:row>
      <xdr:rowOff>9526</xdr:rowOff>
    </xdr:from>
    <xdr:to>
      <xdr:col>5</xdr:col>
      <xdr:colOff>1204191</xdr:colOff>
      <xdr:row>8</xdr:row>
      <xdr:rowOff>1</xdr:rowOff>
    </xdr:to>
    <xdr:pic macro="[0]!Indicative_value">
      <xdr:nvPicPr>
        <xdr:cNvPr id="31" name="Picture 30">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10"/>
        <a:stretch>
          <a:fillRect/>
        </a:stretch>
      </xdr:blipFill>
      <xdr:spPr>
        <a:xfrm>
          <a:off x="9972675" y="3800476"/>
          <a:ext cx="137391" cy="133350"/>
        </a:xfrm>
        <a:prstGeom prst="rect">
          <a:avLst/>
        </a:prstGeom>
      </xdr:spPr>
    </xdr:pic>
    <xdr:clientData/>
  </xdr:twoCellAnchor>
  <xdr:twoCellAnchor editAs="oneCell">
    <xdr:from>
      <xdr:col>6</xdr:col>
      <xdr:colOff>733425</xdr:colOff>
      <xdr:row>7</xdr:row>
      <xdr:rowOff>9525</xdr:rowOff>
    </xdr:from>
    <xdr:to>
      <xdr:col>6</xdr:col>
      <xdr:colOff>870816</xdr:colOff>
      <xdr:row>8</xdr:row>
      <xdr:rowOff>0</xdr:rowOff>
    </xdr:to>
    <xdr:pic macro="[0]!Parameterrange">
      <xdr:nvPicPr>
        <xdr:cNvPr id="32" name="Picture 3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10"/>
        <a:stretch>
          <a:fillRect/>
        </a:stretch>
      </xdr:blipFill>
      <xdr:spPr>
        <a:xfrm>
          <a:off x="11020425" y="3800475"/>
          <a:ext cx="137391" cy="133350"/>
        </a:xfrm>
        <a:prstGeom prst="rect">
          <a:avLst/>
        </a:prstGeom>
      </xdr:spPr>
    </xdr:pic>
    <xdr:clientData/>
  </xdr:twoCellAnchor>
  <xdr:twoCellAnchor editAs="oneCell">
    <xdr:from>
      <xdr:col>1</xdr:col>
      <xdr:colOff>104774</xdr:colOff>
      <xdr:row>7</xdr:row>
      <xdr:rowOff>0</xdr:rowOff>
    </xdr:from>
    <xdr:to>
      <xdr:col>1</xdr:col>
      <xdr:colOff>242012</xdr:colOff>
      <xdr:row>7</xdr:row>
      <xdr:rowOff>133200</xdr:rowOff>
    </xdr:to>
    <xdr:pic macro="[0]!Process">
      <xdr:nvPicPr>
        <xdr:cNvPr id="33" name="Picture 32">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10"/>
        <a:stretch>
          <a:fillRect/>
        </a:stretch>
      </xdr:blipFill>
      <xdr:spPr>
        <a:xfrm>
          <a:off x="2152649" y="2790825"/>
          <a:ext cx="137238" cy="133200"/>
        </a:xfrm>
        <a:prstGeom prst="rect">
          <a:avLst/>
        </a:prstGeom>
      </xdr:spPr>
    </xdr:pic>
    <xdr:clientData/>
  </xdr:twoCellAnchor>
  <xdr:twoCellAnchor editAs="oneCell">
    <xdr:from>
      <xdr:col>8</xdr:col>
      <xdr:colOff>95250</xdr:colOff>
      <xdr:row>5</xdr:row>
      <xdr:rowOff>114300</xdr:rowOff>
    </xdr:from>
    <xdr:to>
      <xdr:col>8</xdr:col>
      <xdr:colOff>232641</xdr:colOff>
      <xdr:row>6</xdr:row>
      <xdr:rowOff>104775</xdr:rowOff>
    </xdr:to>
    <xdr:pic macro="[0]!Pathwayvalues">
      <xdr:nvPicPr>
        <xdr:cNvPr id="34" name="Picture 33">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10"/>
        <a:stretch>
          <a:fillRect/>
        </a:stretch>
      </xdr:blipFill>
      <xdr:spPr>
        <a:xfrm>
          <a:off x="11763375" y="3619500"/>
          <a:ext cx="137391" cy="133350"/>
        </a:xfrm>
        <a:prstGeom prst="rect">
          <a:avLst/>
        </a:prstGeom>
      </xdr:spPr>
    </xdr:pic>
    <xdr:clientData/>
  </xdr:twoCellAnchor>
  <xdr:twoCellAnchor editAs="absolute">
    <xdr:from>
      <xdr:col>0</xdr:col>
      <xdr:colOff>171449</xdr:colOff>
      <xdr:row>9</xdr:row>
      <xdr:rowOff>57150</xdr:rowOff>
    </xdr:from>
    <xdr:to>
      <xdr:col>0</xdr:col>
      <xdr:colOff>1819274</xdr:colOff>
      <xdr:row>11</xdr:row>
      <xdr:rowOff>100965</xdr:rowOff>
    </xdr:to>
    <xdr:sp macro="[0]!Go_to_summary" textlink="">
      <xdr:nvSpPr>
        <xdr:cNvPr id="48" name="Rounded Rectangle 25" descr="4de36d0c-85e9-45da-9d5f-944cdf13d669">
          <a:hlinkClick xmlns:r="http://schemas.openxmlformats.org/officeDocument/2006/relationships" r:id="rId11"/>
          <a:extLst>
            <a:ext uri="{FF2B5EF4-FFF2-40B4-BE49-F238E27FC236}">
              <a16:creationId xmlns:a16="http://schemas.microsoft.com/office/drawing/2014/main" id="{00000000-0008-0000-0600-000030000000}"/>
            </a:ext>
          </a:extLst>
        </xdr:cNvPr>
        <xdr:cNvSpPr/>
      </xdr:nvSpPr>
      <xdr:spPr>
        <a:xfrm>
          <a:off x="171449" y="327660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1</a:t>
          </a:r>
        </a:p>
      </xdr:txBody>
    </xdr:sp>
    <xdr:clientData/>
  </xdr:twoCellAnchor>
  <xdr:twoCellAnchor editAs="oneCell">
    <xdr:from>
      <xdr:col>7</xdr:col>
      <xdr:colOff>771525</xdr:colOff>
      <xdr:row>7</xdr:row>
      <xdr:rowOff>9525</xdr:rowOff>
    </xdr:from>
    <xdr:to>
      <xdr:col>7</xdr:col>
      <xdr:colOff>905649</xdr:colOff>
      <xdr:row>8</xdr:row>
      <xdr:rowOff>774</xdr:rowOff>
    </xdr:to>
    <xdr:pic macro="[0]!Data_type">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2"/>
        <a:stretch>
          <a:fillRect/>
        </a:stretch>
      </xdr:blipFill>
      <xdr:spPr>
        <a:xfrm>
          <a:off x="12087225" y="3800475"/>
          <a:ext cx="134124" cy="134124"/>
        </a:xfrm>
        <a:prstGeom prst="rect">
          <a:avLst/>
        </a:prstGeom>
      </xdr:spPr>
    </xdr:pic>
    <xdr:clientData/>
  </xdr:twoCellAnchor>
  <xdr:twoCellAnchor editAs="oneCell">
    <xdr:from>
      <xdr:col>1</xdr:col>
      <xdr:colOff>114300</xdr:colOff>
      <xdr:row>47</xdr:row>
      <xdr:rowOff>95250</xdr:rowOff>
    </xdr:from>
    <xdr:to>
      <xdr:col>1</xdr:col>
      <xdr:colOff>711760</xdr:colOff>
      <xdr:row>51</xdr:row>
      <xdr:rowOff>14527</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3">
          <a:duotone>
            <a:schemeClr val="accent5">
              <a:shade val="45000"/>
              <a:satMod val="135000"/>
            </a:schemeClr>
            <a:prstClr val="white"/>
          </a:duotone>
          <a:alphaModFix amt="92000"/>
        </a:blip>
        <a:stretch>
          <a:fillRect/>
        </a:stretch>
      </xdr:blipFill>
      <xdr:spPr>
        <a:xfrm>
          <a:off x="2162175" y="16202025"/>
          <a:ext cx="597460" cy="566977"/>
        </a:xfrm>
        <a:prstGeom prst="rect">
          <a:avLst/>
        </a:prstGeom>
      </xdr:spPr>
    </xdr:pic>
    <xdr:clientData/>
  </xdr:twoCellAnchor>
  <xdr:twoCellAnchor editAs="oneCell">
    <xdr:from>
      <xdr:col>1</xdr:col>
      <xdr:colOff>9525</xdr:colOff>
      <xdr:row>15</xdr:row>
      <xdr:rowOff>57150</xdr:rowOff>
    </xdr:from>
    <xdr:to>
      <xdr:col>1</xdr:col>
      <xdr:colOff>820363</xdr:colOff>
      <xdr:row>18</xdr:row>
      <xdr:rowOff>70530</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duotone>
            <a:schemeClr val="accent5">
              <a:shade val="45000"/>
              <a:satMod val="135000"/>
            </a:schemeClr>
            <a:prstClr val="white"/>
          </a:duotone>
          <a:alphaModFix amt="90000"/>
        </a:blip>
        <a:stretch>
          <a:fillRect/>
        </a:stretch>
      </xdr:blipFill>
      <xdr:spPr>
        <a:xfrm>
          <a:off x="2057400" y="7277100"/>
          <a:ext cx="810838" cy="518205"/>
        </a:xfrm>
        <a:prstGeom prst="rect">
          <a:avLst/>
        </a:prstGeom>
      </xdr:spPr>
    </xdr:pic>
    <xdr:clientData/>
  </xdr:twoCellAnchor>
  <xdr:oneCellAnchor>
    <xdr:from>
      <xdr:col>1</xdr:col>
      <xdr:colOff>28575</xdr:colOff>
      <xdr:row>9</xdr:row>
      <xdr:rowOff>57150</xdr:rowOff>
    </xdr:from>
    <xdr:ext cx="762066" cy="524301"/>
    <xdr:pic>
      <xdr:nvPicPr>
        <xdr:cNvPr id="49" name="Picture 48">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duotone>
            <a:schemeClr val="accent5">
              <a:shade val="45000"/>
              <a:satMod val="135000"/>
            </a:schemeClr>
            <a:prstClr val="white"/>
          </a:duotone>
          <a:alphaModFix amt="92000"/>
        </a:blip>
        <a:stretch>
          <a:fillRect/>
        </a:stretch>
      </xdr:blipFill>
      <xdr:spPr>
        <a:xfrm>
          <a:off x="2076450" y="3133725"/>
          <a:ext cx="762066" cy="524301"/>
        </a:xfrm>
        <a:prstGeom prst="rect">
          <a:avLst/>
        </a:prstGeom>
      </xdr:spPr>
    </xdr:pic>
    <xdr:clientData/>
  </xdr:oneCellAnchor>
  <xdr:twoCellAnchor editAs="oneCell">
    <xdr:from>
      <xdr:col>3</xdr:col>
      <xdr:colOff>742950</xdr:colOff>
      <xdr:row>7</xdr:row>
      <xdr:rowOff>9528</xdr:rowOff>
    </xdr:from>
    <xdr:to>
      <xdr:col>3</xdr:col>
      <xdr:colOff>880187</xdr:colOff>
      <xdr:row>7</xdr:row>
      <xdr:rowOff>142728</xdr:rowOff>
    </xdr:to>
    <xdr:pic macro="[0]!DataME_Parameter">
      <xdr:nvPicPr>
        <xdr:cNvPr id="50" name="Picture 49">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10"/>
        <a:stretch>
          <a:fillRect/>
        </a:stretch>
      </xdr:blipFill>
      <xdr:spPr>
        <a:xfrm>
          <a:off x="5886450" y="2800353"/>
          <a:ext cx="137237" cy="133200"/>
        </a:xfrm>
        <a:prstGeom prst="rect">
          <a:avLst/>
        </a:prstGeom>
      </xdr:spPr>
    </xdr:pic>
    <xdr:clientData/>
  </xdr:twoCellAnchor>
  <xdr:twoCellAnchor editAs="absolute">
    <xdr:from>
      <xdr:col>0</xdr:col>
      <xdr:colOff>161925</xdr:colOff>
      <xdr:row>12</xdr:row>
      <xdr:rowOff>95250</xdr:rowOff>
    </xdr:from>
    <xdr:to>
      <xdr:col>0</xdr:col>
      <xdr:colOff>1809750</xdr:colOff>
      <xdr:row>14</xdr:row>
      <xdr:rowOff>139065</xdr:rowOff>
    </xdr:to>
    <xdr:sp macro="" textlink="">
      <xdr:nvSpPr>
        <xdr:cNvPr id="51" name="Rounded Rectangle 25" descr="97de0c4d-76c9-4f50-aadc-4396b6e6475e">
          <a:hlinkClick xmlns:r="http://schemas.openxmlformats.org/officeDocument/2006/relationships" r:id="rId16"/>
          <a:extLst>
            <a:ext uri="{FF2B5EF4-FFF2-40B4-BE49-F238E27FC236}">
              <a16:creationId xmlns:a16="http://schemas.microsoft.com/office/drawing/2014/main" id="{00000000-0008-0000-0600-000033000000}"/>
            </a:ext>
          </a:extLst>
        </xdr:cNvPr>
        <xdr:cNvSpPr/>
      </xdr:nvSpPr>
      <xdr:spPr>
        <a:xfrm>
          <a:off x="161925" y="374332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2</a:t>
          </a:r>
        </a:p>
      </xdr:txBody>
    </xdr:sp>
    <xdr:clientData/>
  </xdr:twoCellAnchor>
  <xdr:twoCellAnchor editAs="absolute">
    <xdr:from>
      <xdr:col>0</xdr:col>
      <xdr:colOff>161925</xdr:colOff>
      <xdr:row>15</xdr:row>
      <xdr:rowOff>123825</xdr:rowOff>
    </xdr:from>
    <xdr:to>
      <xdr:col>0</xdr:col>
      <xdr:colOff>1809750</xdr:colOff>
      <xdr:row>17</xdr:row>
      <xdr:rowOff>129540</xdr:rowOff>
    </xdr:to>
    <xdr:sp macro="" textlink="">
      <xdr:nvSpPr>
        <xdr:cNvPr id="52" name="Rounded Rectangle 25" descr="263acd59-5164-4794-b938-2e8a9b09b60c">
          <a:hlinkClick xmlns:r="http://schemas.openxmlformats.org/officeDocument/2006/relationships" r:id="rId17"/>
          <a:extLst>
            <a:ext uri="{FF2B5EF4-FFF2-40B4-BE49-F238E27FC236}">
              <a16:creationId xmlns:a16="http://schemas.microsoft.com/office/drawing/2014/main" id="{00000000-0008-0000-0600-000034000000}"/>
            </a:ext>
          </a:extLst>
        </xdr:cNvPr>
        <xdr:cNvSpPr/>
      </xdr:nvSpPr>
      <xdr:spPr>
        <a:xfrm>
          <a:off x="161925" y="420052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3</a:t>
          </a:r>
        </a:p>
      </xdr:txBody>
    </xdr:sp>
    <xdr:clientData/>
  </xdr:twoCellAnchor>
  <xdr:twoCellAnchor editAs="absolute">
    <xdr:from>
      <xdr:col>0</xdr:col>
      <xdr:colOff>161925</xdr:colOff>
      <xdr:row>18</xdr:row>
      <xdr:rowOff>66675</xdr:rowOff>
    </xdr:from>
    <xdr:to>
      <xdr:col>0</xdr:col>
      <xdr:colOff>1809750</xdr:colOff>
      <xdr:row>20</xdr:row>
      <xdr:rowOff>34290</xdr:rowOff>
    </xdr:to>
    <xdr:sp macro="" textlink="">
      <xdr:nvSpPr>
        <xdr:cNvPr id="53" name="Rounded Rectangle 25" descr="749922a4-0705-4437-9630-1fe99eaf976f">
          <a:hlinkClick xmlns:r="http://schemas.openxmlformats.org/officeDocument/2006/relationships" r:id="rId18"/>
          <a:extLst>
            <a:ext uri="{FF2B5EF4-FFF2-40B4-BE49-F238E27FC236}">
              <a16:creationId xmlns:a16="http://schemas.microsoft.com/office/drawing/2014/main" id="{00000000-0008-0000-0600-000035000000}"/>
            </a:ext>
          </a:extLst>
        </xdr:cNvPr>
        <xdr:cNvSpPr/>
      </xdr:nvSpPr>
      <xdr:spPr>
        <a:xfrm>
          <a:off x="161925" y="464820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274320</xdr:colOff>
      <xdr:row>0</xdr:row>
      <xdr:rowOff>133350</xdr:rowOff>
    </xdr:from>
    <xdr:to>
      <xdr:col>10</xdr:col>
      <xdr:colOff>730885</xdr:colOff>
      <xdr:row>0</xdr:row>
      <xdr:rowOff>1803612</xdr:rowOff>
    </xdr:to>
    <xdr:grpSp>
      <xdr:nvGrpSpPr>
        <xdr:cNvPr id="83" name="Group 82">
          <a:extLst>
            <a:ext uri="{FF2B5EF4-FFF2-40B4-BE49-F238E27FC236}">
              <a16:creationId xmlns:a16="http://schemas.microsoft.com/office/drawing/2014/main" id="{58110168-A5D7-494D-90E0-14A295D68EFF}"/>
            </a:ext>
          </a:extLst>
        </xdr:cNvPr>
        <xdr:cNvGrpSpPr/>
      </xdr:nvGrpSpPr>
      <xdr:grpSpPr>
        <a:xfrm>
          <a:off x="276225" y="129540"/>
          <a:ext cx="16458565" cy="1677882"/>
          <a:chOff x="171450" y="91441"/>
          <a:chExt cx="16462375" cy="1683597"/>
        </a:xfrm>
      </xdr:grpSpPr>
      <xdr:pic>
        <xdr:nvPicPr>
          <xdr:cNvPr id="84" name="Picture 83">
            <a:extLst>
              <a:ext uri="{FF2B5EF4-FFF2-40B4-BE49-F238E27FC236}">
                <a16:creationId xmlns:a16="http://schemas.microsoft.com/office/drawing/2014/main" id="{BCDD60B9-99D0-4E73-9BF7-0AA9E426CEA4}"/>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85" name="Group 84">
            <a:extLst>
              <a:ext uri="{FF2B5EF4-FFF2-40B4-BE49-F238E27FC236}">
                <a16:creationId xmlns:a16="http://schemas.microsoft.com/office/drawing/2014/main" id="{A8A71A2A-3D89-4CB1-914E-DEE72980C219}"/>
              </a:ext>
            </a:extLst>
          </xdr:cNvPr>
          <xdr:cNvGrpSpPr/>
        </xdr:nvGrpSpPr>
        <xdr:grpSpPr>
          <a:xfrm>
            <a:off x="167640" y="95251"/>
            <a:ext cx="16462375" cy="1675977"/>
            <a:chOff x="167640" y="95251"/>
            <a:chExt cx="16462375" cy="1675977"/>
          </a:xfrm>
        </xdr:grpSpPr>
        <xdr:grpSp>
          <xdr:nvGrpSpPr>
            <xdr:cNvPr id="86" name="Group 85">
              <a:extLst>
                <a:ext uri="{FF2B5EF4-FFF2-40B4-BE49-F238E27FC236}">
                  <a16:creationId xmlns:a16="http://schemas.microsoft.com/office/drawing/2014/main" id="{F4497207-EADE-4CA4-A9C7-46DB41AEEFD8}"/>
                </a:ext>
              </a:extLst>
            </xdr:cNvPr>
            <xdr:cNvGrpSpPr/>
          </xdr:nvGrpSpPr>
          <xdr:grpSpPr>
            <a:xfrm>
              <a:off x="171450" y="91441"/>
              <a:ext cx="16462375" cy="1683597"/>
              <a:chOff x="171449" y="38100"/>
              <a:chExt cx="16659225" cy="1704975"/>
            </a:xfrm>
          </xdr:grpSpPr>
          <xdr:grpSp>
            <xdr:nvGrpSpPr>
              <xdr:cNvPr id="88" name="Group 87">
                <a:extLst>
                  <a:ext uri="{FF2B5EF4-FFF2-40B4-BE49-F238E27FC236}">
                    <a16:creationId xmlns:a16="http://schemas.microsoft.com/office/drawing/2014/main" id="{75D2E890-A0A9-40B3-9357-F2D4A66C07BB}"/>
                  </a:ext>
                </a:extLst>
              </xdr:cNvPr>
              <xdr:cNvGrpSpPr/>
            </xdr:nvGrpSpPr>
            <xdr:grpSpPr>
              <a:xfrm>
                <a:off x="171449" y="38100"/>
                <a:ext cx="16659225" cy="1704975"/>
                <a:chOff x="171449" y="38100"/>
                <a:chExt cx="16659225" cy="1704975"/>
              </a:xfrm>
            </xdr:grpSpPr>
            <xdr:pic>
              <xdr:nvPicPr>
                <xdr:cNvPr id="91" name="Picture 90" descr="catalisti.be">
                  <a:extLst>
                    <a:ext uri="{FF2B5EF4-FFF2-40B4-BE49-F238E27FC236}">
                      <a16:creationId xmlns:a16="http://schemas.microsoft.com/office/drawing/2014/main" id="{28CA11A0-71F2-4BA6-B725-05A9D0C265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Rectangle 91">
                  <a:extLst>
                    <a:ext uri="{FF2B5EF4-FFF2-40B4-BE49-F238E27FC236}">
                      <a16:creationId xmlns:a16="http://schemas.microsoft.com/office/drawing/2014/main" id="{203FA9DD-B083-4D32-B901-1B8587211393}"/>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93" name="Rectangle: Rounded Corners 92">
                  <a:extLst>
                    <a:ext uri="{FF2B5EF4-FFF2-40B4-BE49-F238E27FC236}">
                      <a16:creationId xmlns:a16="http://schemas.microsoft.com/office/drawing/2014/main" id="{057686DC-D8B7-4789-9E52-368B4BE25850}"/>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94" name="Picture 93">
                  <a:extLst>
                    <a:ext uri="{FF2B5EF4-FFF2-40B4-BE49-F238E27FC236}">
                      <a16:creationId xmlns:a16="http://schemas.microsoft.com/office/drawing/2014/main" id="{64FCAD00-B73C-47CF-9997-B119E43D112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95" name="Picture 94">
                  <a:extLst>
                    <a:ext uri="{FF2B5EF4-FFF2-40B4-BE49-F238E27FC236}">
                      <a16:creationId xmlns:a16="http://schemas.microsoft.com/office/drawing/2014/main" id="{BB2D5058-633A-49AD-92B6-59283F867D4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96" name="Picture 95">
                  <a:extLst>
                    <a:ext uri="{FF2B5EF4-FFF2-40B4-BE49-F238E27FC236}">
                      <a16:creationId xmlns:a16="http://schemas.microsoft.com/office/drawing/2014/main" id="{149042B3-CFD8-42B4-B5AC-035A21EE3E5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97" name="Picture 96">
                  <a:extLst>
                    <a:ext uri="{FF2B5EF4-FFF2-40B4-BE49-F238E27FC236}">
                      <a16:creationId xmlns:a16="http://schemas.microsoft.com/office/drawing/2014/main" id="{5CA0744A-D00B-434F-ACAF-0A32ECFF8B5C}"/>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89" name="Picture 88">
                <a:extLst>
                  <a:ext uri="{FF2B5EF4-FFF2-40B4-BE49-F238E27FC236}">
                    <a16:creationId xmlns:a16="http://schemas.microsoft.com/office/drawing/2014/main" id="{7E0D8371-23B6-4E56-8F9E-81E39F61F27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90" name="TextBox 89">
                <a:extLst>
                  <a:ext uri="{FF2B5EF4-FFF2-40B4-BE49-F238E27FC236}">
                    <a16:creationId xmlns:a16="http://schemas.microsoft.com/office/drawing/2014/main" id="{26770ACF-970A-456D-AAA7-9A4E4E7D7DE3}"/>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87" name="Picture 86">
              <a:extLst>
                <a:ext uri="{FF2B5EF4-FFF2-40B4-BE49-F238E27FC236}">
                  <a16:creationId xmlns:a16="http://schemas.microsoft.com/office/drawing/2014/main" id="{C7F20B96-3EEB-4475-BBD4-B1F867E92A7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1007745</xdr:colOff>
      <xdr:row>4</xdr:row>
      <xdr:rowOff>129540</xdr:rowOff>
    </xdr:from>
    <xdr:to>
      <xdr:col>0</xdr:col>
      <xdr:colOff>1617345</xdr:colOff>
      <xdr:row>8</xdr:row>
      <xdr:rowOff>55245</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1011555" y="2497791"/>
          <a:ext cx="609600" cy="508411"/>
          <a:chOff x="13464540" y="68580"/>
          <a:chExt cx="609600" cy="662940"/>
        </a:xfrm>
      </xdr:grpSpPr>
      <xdr:pic macro="[0]!Next_worksheet">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3" name="TextBox 12">
            <a:extLst>
              <a:ext uri="{FF2B5EF4-FFF2-40B4-BE49-F238E27FC236}">
                <a16:creationId xmlns:a16="http://schemas.microsoft.com/office/drawing/2014/main" id="{00000000-0008-0000-0700-00000D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358140</xdr:colOff>
      <xdr:row>4</xdr:row>
      <xdr:rowOff>114300</xdr:rowOff>
    </xdr:from>
    <xdr:to>
      <xdr:col>0</xdr:col>
      <xdr:colOff>967740</xdr:colOff>
      <xdr:row>8</xdr:row>
      <xdr:rowOff>72390</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361950" y="2478741"/>
          <a:ext cx="609600" cy="540796"/>
          <a:chOff x="12801600" y="129540"/>
          <a:chExt cx="609600" cy="685800"/>
        </a:xfrm>
      </xdr:grpSpPr>
      <xdr:pic macro="[0]!Previous_worksheet">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7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oneCell">
    <xdr:from>
      <xdr:col>0</xdr:col>
      <xdr:colOff>428625</xdr:colOff>
      <xdr:row>115</xdr:row>
      <xdr:rowOff>85725</xdr:rowOff>
    </xdr:from>
    <xdr:to>
      <xdr:col>0</xdr:col>
      <xdr:colOff>1335405</xdr:colOff>
      <xdr:row>120</xdr:row>
      <xdr:rowOff>93345</xdr:rowOff>
    </xdr:to>
    <xdr:grpSp>
      <xdr:nvGrpSpPr>
        <xdr:cNvPr id="23" name="Group 22">
          <a:extLst>
            <a:ext uri="{FF2B5EF4-FFF2-40B4-BE49-F238E27FC236}">
              <a16:creationId xmlns:a16="http://schemas.microsoft.com/office/drawing/2014/main" id="{00000000-0008-0000-0700-000017000000}"/>
            </a:ext>
          </a:extLst>
        </xdr:cNvPr>
        <xdr:cNvGrpSpPr/>
      </xdr:nvGrpSpPr>
      <xdr:grpSpPr>
        <a:xfrm>
          <a:off x="430530" y="18980748"/>
          <a:ext cx="904875" cy="737907"/>
          <a:chOff x="12771120" y="8145780"/>
          <a:chExt cx="906780" cy="739140"/>
        </a:xfrm>
      </xdr:grpSpPr>
      <xdr:pic macro="[0]!Top_of_page">
        <xdr:nvPicPr>
          <xdr:cNvPr id="24" name="Picture 23">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25" name="TextBox 24">
            <a:extLst>
              <a:ext uri="{FF2B5EF4-FFF2-40B4-BE49-F238E27FC236}">
                <a16:creationId xmlns:a16="http://schemas.microsoft.com/office/drawing/2014/main" id="{00000000-0008-0000-0700-000019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2</xdr:col>
      <xdr:colOff>800100</xdr:colOff>
      <xdr:row>2</xdr:row>
      <xdr:rowOff>133350</xdr:rowOff>
    </xdr:from>
    <xdr:to>
      <xdr:col>2</xdr:col>
      <xdr:colOff>1007382</xdr:colOff>
      <xdr:row>3</xdr:row>
      <xdr:rowOff>191660</xdr:rowOff>
    </xdr:to>
    <xdr:pic macro="[0]!Data_Economic">
      <xdr:nvPicPr>
        <xdr:cNvPr id="33" name="Picture 32">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10"/>
        <a:stretch>
          <a:fillRect/>
        </a:stretch>
      </xdr:blipFill>
      <xdr:spPr>
        <a:xfrm>
          <a:off x="4895850" y="2105025"/>
          <a:ext cx="207282" cy="201185"/>
        </a:xfrm>
        <a:prstGeom prst="rect">
          <a:avLst/>
        </a:prstGeom>
      </xdr:spPr>
    </xdr:pic>
    <xdr:clientData/>
  </xdr:twoCellAnchor>
  <xdr:twoCellAnchor editAs="oneCell">
    <xdr:from>
      <xdr:col>4</xdr:col>
      <xdr:colOff>809625</xdr:colOff>
      <xdr:row>7</xdr:row>
      <xdr:rowOff>9525</xdr:rowOff>
    </xdr:from>
    <xdr:to>
      <xdr:col>4</xdr:col>
      <xdr:colOff>931776</xdr:colOff>
      <xdr:row>8</xdr:row>
      <xdr:rowOff>0</xdr:rowOff>
    </xdr:to>
    <xdr:pic macro="[0]!Unit">
      <xdr:nvPicPr>
        <xdr:cNvPr id="34" name="Picture 33">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10"/>
        <a:stretch>
          <a:fillRect/>
        </a:stretch>
      </xdr:blipFill>
      <xdr:spPr>
        <a:xfrm>
          <a:off x="8667750" y="3800475"/>
          <a:ext cx="137391" cy="133350"/>
        </a:xfrm>
        <a:prstGeom prst="rect">
          <a:avLst/>
        </a:prstGeom>
      </xdr:spPr>
    </xdr:pic>
    <xdr:clientData/>
  </xdr:twoCellAnchor>
  <xdr:twoCellAnchor editAs="oneCell">
    <xdr:from>
      <xdr:col>5</xdr:col>
      <xdr:colOff>1247775</xdr:colOff>
      <xdr:row>7</xdr:row>
      <xdr:rowOff>19050</xdr:rowOff>
    </xdr:from>
    <xdr:to>
      <xdr:col>6</xdr:col>
      <xdr:colOff>19281</xdr:colOff>
      <xdr:row>8</xdr:row>
      <xdr:rowOff>0</xdr:rowOff>
    </xdr:to>
    <xdr:pic macro="[0]!Indicative_value">
      <xdr:nvPicPr>
        <xdr:cNvPr id="35" name="Picture 34">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10"/>
        <a:stretch>
          <a:fillRect/>
        </a:stretch>
      </xdr:blipFill>
      <xdr:spPr>
        <a:xfrm>
          <a:off x="10429875" y="3810000"/>
          <a:ext cx="137391" cy="133350"/>
        </a:xfrm>
        <a:prstGeom prst="rect">
          <a:avLst/>
        </a:prstGeom>
      </xdr:spPr>
    </xdr:pic>
    <xdr:clientData/>
  </xdr:twoCellAnchor>
  <xdr:twoCellAnchor editAs="oneCell">
    <xdr:from>
      <xdr:col>6</xdr:col>
      <xdr:colOff>781050</xdr:colOff>
      <xdr:row>7</xdr:row>
      <xdr:rowOff>19049</xdr:rowOff>
    </xdr:from>
    <xdr:to>
      <xdr:col>6</xdr:col>
      <xdr:colOff>933681</xdr:colOff>
      <xdr:row>7</xdr:row>
      <xdr:rowOff>137159</xdr:rowOff>
    </xdr:to>
    <xdr:pic macro="[0]!Parameterrange">
      <xdr:nvPicPr>
        <xdr:cNvPr id="36" name="Picture 35">
          <a:extLst>
            <a:ext uri="{FF2B5EF4-FFF2-40B4-BE49-F238E27FC236}">
              <a16:creationId xmlns:a16="http://schemas.microsoft.com/office/drawing/2014/main" id="{00000000-0008-0000-0700-000024000000}"/>
            </a:ext>
          </a:extLst>
        </xdr:cNvPr>
        <xdr:cNvPicPr>
          <a:picLocks noChangeAspect="1"/>
        </xdr:cNvPicPr>
      </xdr:nvPicPr>
      <xdr:blipFill>
        <a:blip xmlns:r="http://schemas.openxmlformats.org/officeDocument/2006/relationships" r:embed="rId10"/>
        <a:stretch>
          <a:fillRect/>
        </a:stretch>
      </xdr:blipFill>
      <xdr:spPr>
        <a:xfrm>
          <a:off x="11344275" y="3809999"/>
          <a:ext cx="137391" cy="133350"/>
        </a:xfrm>
        <a:prstGeom prst="rect">
          <a:avLst/>
        </a:prstGeom>
      </xdr:spPr>
    </xdr:pic>
    <xdr:clientData/>
  </xdr:twoCellAnchor>
  <xdr:twoCellAnchor editAs="oneCell">
    <xdr:from>
      <xdr:col>1</xdr:col>
      <xdr:colOff>85725</xdr:colOff>
      <xdr:row>78</xdr:row>
      <xdr:rowOff>9525</xdr:rowOff>
    </xdr:from>
    <xdr:to>
      <xdr:col>1</xdr:col>
      <xdr:colOff>207876</xdr:colOff>
      <xdr:row>79</xdr:row>
      <xdr:rowOff>0</xdr:rowOff>
    </xdr:to>
    <xdr:pic macro="[0]!Process">
      <xdr:nvPicPr>
        <xdr:cNvPr id="37" name="Picture 36">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10"/>
        <a:stretch>
          <a:fillRect/>
        </a:stretch>
      </xdr:blipFill>
      <xdr:spPr>
        <a:xfrm>
          <a:off x="2133600" y="8343900"/>
          <a:ext cx="137391" cy="133350"/>
        </a:xfrm>
        <a:prstGeom prst="rect">
          <a:avLst/>
        </a:prstGeom>
      </xdr:spPr>
    </xdr:pic>
    <xdr:clientData/>
  </xdr:twoCellAnchor>
  <xdr:twoCellAnchor editAs="oneCell">
    <xdr:from>
      <xdr:col>1</xdr:col>
      <xdr:colOff>647700</xdr:colOff>
      <xdr:row>8</xdr:row>
      <xdr:rowOff>19050</xdr:rowOff>
    </xdr:from>
    <xdr:to>
      <xdr:col>1</xdr:col>
      <xdr:colOff>777471</xdr:colOff>
      <xdr:row>9</xdr:row>
      <xdr:rowOff>15240</xdr:rowOff>
    </xdr:to>
    <xdr:pic macro="[0]!Financial">
      <xdr:nvPicPr>
        <xdr:cNvPr id="38" name="Picture 37">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10"/>
        <a:stretch>
          <a:fillRect/>
        </a:stretch>
      </xdr:blipFill>
      <xdr:spPr>
        <a:xfrm>
          <a:off x="2695575" y="3952875"/>
          <a:ext cx="137391" cy="133350"/>
        </a:xfrm>
        <a:prstGeom prst="rect">
          <a:avLst/>
        </a:prstGeom>
      </xdr:spPr>
    </xdr:pic>
    <xdr:clientData/>
  </xdr:twoCellAnchor>
  <xdr:twoCellAnchor editAs="oneCell">
    <xdr:from>
      <xdr:col>1</xdr:col>
      <xdr:colOff>1676400</xdr:colOff>
      <xdr:row>38</xdr:row>
      <xdr:rowOff>19050</xdr:rowOff>
    </xdr:from>
    <xdr:to>
      <xdr:col>1</xdr:col>
      <xdr:colOff>1806171</xdr:colOff>
      <xdr:row>39</xdr:row>
      <xdr:rowOff>15240</xdr:rowOff>
    </xdr:to>
    <xdr:pic macro="[0]!Operational_cost">
      <xdr:nvPicPr>
        <xdr:cNvPr id="39" name="Picture 38">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10"/>
        <a:stretch>
          <a:fillRect/>
        </a:stretch>
      </xdr:blipFill>
      <xdr:spPr>
        <a:xfrm>
          <a:off x="3724275" y="5381625"/>
          <a:ext cx="137391" cy="133350"/>
        </a:xfrm>
        <a:prstGeom prst="rect">
          <a:avLst/>
        </a:prstGeom>
      </xdr:spPr>
    </xdr:pic>
    <xdr:clientData/>
  </xdr:twoCellAnchor>
  <xdr:twoCellAnchor editAs="oneCell">
    <xdr:from>
      <xdr:col>8</xdr:col>
      <xdr:colOff>95250</xdr:colOff>
      <xdr:row>5</xdr:row>
      <xdr:rowOff>133350</xdr:rowOff>
    </xdr:from>
    <xdr:to>
      <xdr:col>8</xdr:col>
      <xdr:colOff>247881</xdr:colOff>
      <xdr:row>6</xdr:row>
      <xdr:rowOff>129540</xdr:rowOff>
    </xdr:to>
    <xdr:pic macro="[0]!Pathwayvalues">
      <xdr:nvPicPr>
        <xdr:cNvPr id="40" name="Picture 39">
          <a:extLst>
            <a:ext uri="{FF2B5EF4-FFF2-40B4-BE49-F238E27FC236}">
              <a16:creationId xmlns:a16="http://schemas.microsoft.com/office/drawing/2014/main" id="{00000000-0008-0000-0700-000028000000}"/>
            </a:ext>
          </a:extLst>
        </xdr:cNvPr>
        <xdr:cNvPicPr>
          <a:picLocks noChangeAspect="1"/>
        </xdr:cNvPicPr>
      </xdr:nvPicPr>
      <xdr:blipFill>
        <a:blip xmlns:r="http://schemas.openxmlformats.org/officeDocument/2006/relationships" r:embed="rId10"/>
        <a:stretch>
          <a:fillRect/>
        </a:stretch>
      </xdr:blipFill>
      <xdr:spPr>
        <a:xfrm>
          <a:off x="11763375" y="3638550"/>
          <a:ext cx="137391" cy="133350"/>
        </a:xfrm>
        <a:prstGeom prst="rect">
          <a:avLst/>
        </a:prstGeom>
      </xdr:spPr>
    </xdr:pic>
    <xdr:clientData/>
  </xdr:twoCellAnchor>
  <xdr:twoCellAnchor editAs="oneCell">
    <xdr:from>
      <xdr:col>7</xdr:col>
      <xdr:colOff>771525</xdr:colOff>
      <xdr:row>7</xdr:row>
      <xdr:rowOff>9525</xdr:rowOff>
    </xdr:from>
    <xdr:to>
      <xdr:col>7</xdr:col>
      <xdr:colOff>894219</xdr:colOff>
      <xdr:row>8</xdr:row>
      <xdr:rowOff>774</xdr:rowOff>
    </xdr:to>
    <xdr:pic macro="[0]!Data_type">
      <xdr:nvPicPr>
        <xdr:cNvPr id="55" name="Picture 54">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11"/>
        <a:stretch>
          <a:fillRect/>
        </a:stretch>
      </xdr:blipFill>
      <xdr:spPr>
        <a:xfrm>
          <a:off x="12106275" y="3800475"/>
          <a:ext cx="134124" cy="134124"/>
        </a:xfrm>
        <a:prstGeom prst="rect">
          <a:avLst/>
        </a:prstGeom>
      </xdr:spPr>
    </xdr:pic>
    <xdr:clientData/>
  </xdr:twoCellAnchor>
  <xdr:twoCellAnchor editAs="oneCell">
    <xdr:from>
      <xdr:col>1</xdr:col>
      <xdr:colOff>104775</xdr:colOff>
      <xdr:row>105</xdr:row>
      <xdr:rowOff>47625</xdr:rowOff>
    </xdr:from>
    <xdr:to>
      <xdr:col>1</xdr:col>
      <xdr:colOff>702235</xdr:colOff>
      <xdr:row>108</xdr:row>
      <xdr:rowOff>94537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2">
          <a:duotone>
            <a:schemeClr val="accent2">
              <a:shade val="45000"/>
              <a:satMod val="135000"/>
            </a:schemeClr>
            <a:prstClr val="white"/>
          </a:duotone>
          <a:alphaModFix amt="89000"/>
          <a:extLst>
            <a:ext uri="{BEBA8EAE-BF5A-486C-A8C5-ECC9F3942E4B}">
              <a14:imgProps xmlns:a14="http://schemas.microsoft.com/office/drawing/2010/main">
                <a14:imgLayer r:embed="rId13">
                  <a14:imgEffect>
                    <a14:colorTemperature colorTemp="1812"/>
                  </a14:imgEffect>
                  <a14:imgEffect>
                    <a14:brightnessContrast bright="-1000"/>
                  </a14:imgEffect>
                </a14:imgLayer>
              </a14:imgProps>
            </a:ext>
          </a:extLst>
        </a:blip>
        <a:stretch>
          <a:fillRect/>
        </a:stretch>
      </xdr:blipFill>
      <xdr:spPr>
        <a:xfrm>
          <a:off x="2152650" y="15468600"/>
          <a:ext cx="597460" cy="566977"/>
        </a:xfrm>
        <a:prstGeom prst="rect">
          <a:avLst/>
        </a:prstGeom>
      </xdr:spPr>
    </xdr:pic>
    <xdr:clientData/>
  </xdr:twoCellAnchor>
  <xdr:twoCellAnchor editAs="oneCell">
    <xdr:from>
      <xdr:col>1</xdr:col>
      <xdr:colOff>76200</xdr:colOff>
      <xdr:row>80</xdr:row>
      <xdr:rowOff>95250</xdr:rowOff>
    </xdr:from>
    <xdr:to>
      <xdr:col>1</xdr:col>
      <xdr:colOff>838266</xdr:colOff>
      <xdr:row>84</xdr:row>
      <xdr:rowOff>426</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duotone>
            <a:schemeClr val="accent2">
              <a:shade val="45000"/>
              <a:satMod val="135000"/>
            </a:schemeClr>
            <a:prstClr val="white"/>
          </a:duotone>
          <a:alphaModFix amt="85000"/>
        </a:blip>
        <a:stretch>
          <a:fillRect/>
        </a:stretch>
      </xdr:blipFill>
      <xdr:spPr>
        <a:xfrm>
          <a:off x="2124075" y="11039475"/>
          <a:ext cx="762066" cy="524301"/>
        </a:xfrm>
        <a:prstGeom prst="rect">
          <a:avLst/>
        </a:prstGeom>
      </xdr:spPr>
    </xdr:pic>
    <xdr:clientData/>
  </xdr:twoCellAnchor>
  <xdr:twoCellAnchor editAs="oneCell">
    <xdr:from>
      <xdr:col>1</xdr:col>
      <xdr:colOff>57150</xdr:colOff>
      <xdr:row>89</xdr:row>
      <xdr:rowOff>76200</xdr:rowOff>
    </xdr:from>
    <xdr:to>
      <xdr:col>1</xdr:col>
      <xdr:colOff>856558</xdr:colOff>
      <xdr:row>93</xdr:row>
      <xdr:rowOff>15285</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duotone>
            <a:schemeClr val="accent2">
              <a:shade val="45000"/>
              <a:satMod val="135000"/>
            </a:schemeClr>
            <a:prstClr val="white"/>
          </a:duotone>
          <a:alphaModFix amt="85000"/>
        </a:blip>
        <a:stretch>
          <a:fillRect/>
        </a:stretch>
      </xdr:blipFill>
      <xdr:spPr>
        <a:xfrm>
          <a:off x="2105025" y="13639800"/>
          <a:ext cx="810838" cy="518205"/>
        </a:xfrm>
        <a:prstGeom prst="rect">
          <a:avLst/>
        </a:prstGeom>
      </xdr:spPr>
    </xdr:pic>
    <xdr:clientData/>
  </xdr:twoCellAnchor>
  <xdr:twoCellAnchor editAs="absolute">
    <xdr:from>
      <xdr:col>0</xdr:col>
      <xdr:colOff>152400</xdr:colOff>
      <xdr:row>9</xdr:row>
      <xdr:rowOff>133350</xdr:rowOff>
    </xdr:from>
    <xdr:to>
      <xdr:col>0</xdr:col>
      <xdr:colOff>1805940</xdr:colOff>
      <xdr:row>12</xdr:row>
      <xdr:rowOff>34290</xdr:rowOff>
    </xdr:to>
    <xdr:sp macro="[0]!Go_to_summary" textlink="">
      <xdr:nvSpPr>
        <xdr:cNvPr id="56" name="Rounded Rectangle 25" descr="3ea3510a-16e6-4384-9068-1e9097213c29">
          <a:hlinkClick xmlns:r="http://schemas.openxmlformats.org/officeDocument/2006/relationships" r:id="rId16"/>
          <a:extLst>
            <a:ext uri="{FF2B5EF4-FFF2-40B4-BE49-F238E27FC236}">
              <a16:creationId xmlns:a16="http://schemas.microsoft.com/office/drawing/2014/main" id="{00000000-0008-0000-0700-000038000000}"/>
            </a:ext>
          </a:extLst>
        </xdr:cNvPr>
        <xdr:cNvSpPr/>
      </xdr:nvSpPr>
      <xdr:spPr>
        <a:xfrm>
          <a:off x="152400" y="335280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1</a:t>
          </a:r>
        </a:p>
      </xdr:txBody>
    </xdr:sp>
    <xdr:clientData/>
  </xdr:twoCellAnchor>
  <xdr:twoCellAnchor editAs="oneCell">
    <xdr:from>
      <xdr:col>3</xdr:col>
      <xdr:colOff>723900</xdr:colOff>
      <xdr:row>7</xdr:row>
      <xdr:rowOff>9525</xdr:rowOff>
    </xdr:from>
    <xdr:to>
      <xdr:col>3</xdr:col>
      <xdr:colOff>853671</xdr:colOff>
      <xdr:row>8</xdr:row>
      <xdr:rowOff>0</xdr:rowOff>
    </xdr:to>
    <xdr:pic macro="[0]!DataE_Parameter">
      <xdr:nvPicPr>
        <xdr:cNvPr id="54" name="Picture 53">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10"/>
        <a:stretch>
          <a:fillRect/>
        </a:stretch>
      </xdr:blipFill>
      <xdr:spPr>
        <a:xfrm>
          <a:off x="5867400" y="3800475"/>
          <a:ext cx="137391" cy="133350"/>
        </a:xfrm>
        <a:prstGeom prst="rect">
          <a:avLst/>
        </a:prstGeom>
      </xdr:spPr>
    </xdr:pic>
    <xdr:clientData/>
  </xdr:twoCellAnchor>
  <xdr:twoCellAnchor editAs="absolute">
    <xdr:from>
      <xdr:col>0</xdr:col>
      <xdr:colOff>131445</xdr:colOff>
      <xdr:row>13</xdr:row>
      <xdr:rowOff>17145</xdr:rowOff>
    </xdr:from>
    <xdr:to>
      <xdr:col>0</xdr:col>
      <xdr:colOff>1790700</xdr:colOff>
      <xdr:row>15</xdr:row>
      <xdr:rowOff>72390</xdr:rowOff>
    </xdr:to>
    <xdr:sp macro="" textlink="">
      <xdr:nvSpPr>
        <xdr:cNvPr id="57" name="Rounded Rectangle 25" descr="aee63b1c-63e7-4cd0-9ae7-b3dc431beb8f">
          <a:hlinkClick xmlns:r="http://schemas.openxmlformats.org/officeDocument/2006/relationships" r:id="rId17"/>
          <a:extLst>
            <a:ext uri="{FF2B5EF4-FFF2-40B4-BE49-F238E27FC236}">
              <a16:creationId xmlns:a16="http://schemas.microsoft.com/office/drawing/2014/main" id="{00000000-0008-0000-0700-000039000000}"/>
            </a:ext>
          </a:extLst>
        </xdr:cNvPr>
        <xdr:cNvSpPr/>
      </xdr:nvSpPr>
      <xdr:spPr>
        <a:xfrm>
          <a:off x="142875" y="381952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2</a:t>
          </a:r>
        </a:p>
      </xdr:txBody>
    </xdr:sp>
    <xdr:clientData/>
  </xdr:twoCellAnchor>
  <xdr:twoCellAnchor editAs="absolute">
    <xdr:from>
      <xdr:col>0</xdr:col>
      <xdr:colOff>131445</xdr:colOff>
      <xdr:row>16</xdr:row>
      <xdr:rowOff>57150</xdr:rowOff>
    </xdr:from>
    <xdr:to>
      <xdr:col>0</xdr:col>
      <xdr:colOff>1790700</xdr:colOff>
      <xdr:row>18</xdr:row>
      <xdr:rowOff>93345</xdr:rowOff>
    </xdr:to>
    <xdr:sp macro="" textlink="">
      <xdr:nvSpPr>
        <xdr:cNvPr id="58" name="Rounded Rectangle 25" descr="4ef6fbad-0cb2-4363-9e5f-bab97007538e">
          <a:hlinkClick xmlns:r="http://schemas.openxmlformats.org/officeDocument/2006/relationships" r:id="rId18"/>
          <a:extLst>
            <a:ext uri="{FF2B5EF4-FFF2-40B4-BE49-F238E27FC236}">
              <a16:creationId xmlns:a16="http://schemas.microsoft.com/office/drawing/2014/main" id="{00000000-0008-0000-0700-00003A000000}"/>
            </a:ext>
          </a:extLst>
        </xdr:cNvPr>
        <xdr:cNvSpPr/>
      </xdr:nvSpPr>
      <xdr:spPr>
        <a:xfrm>
          <a:off x="142875" y="427672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3</a:t>
          </a:r>
        </a:p>
      </xdr:txBody>
    </xdr:sp>
    <xdr:clientData/>
  </xdr:twoCellAnchor>
  <xdr:twoCellAnchor editAs="absolute">
    <xdr:from>
      <xdr:col>0</xdr:col>
      <xdr:colOff>131445</xdr:colOff>
      <xdr:row>19</xdr:row>
      <xdr:rowOff>76200</xdr:rowOff>
    </xdr:from>
    <xdr:to>
      <xdr:col>0</xdr:col>
      <xdr:colOff>1790700</xdr:colOff>
      <xdr:row>21</xdr:row>
      <xdr:rowOff>129540</xdr:rowOff>
    </xdr:to>
    <xdr:sp macro="" textlink="">
      <xdr:nvSpPr>
        <xdr:cNvPr id="59" name="Rounded Rectangle 25" descr="7b2a0cba-6f65-41c9-81fe-a51262720d28">
          <a:hlinkClick xmlns:r="http://schemas.openxmlformats.org/officeDocument/2006/relationships" r:id="rId19"/>
          <a:extLst>
            <a:ext uri="{FF2B5EF4-FFF2-40B4-BE49-F238E27FC236}">
              <a16:creationId xmlns:a16="http://schemas.microsoft.com/office/drawing/2014/main" id="{00000000-0008-0000-0700-00003B000000}"/>
            </a:ext>
          </a:extLst>
        </xdr:cNvPr>
        <xdr:cNvSpPr/>
      </xdr:nvSpPr>
      <xdr:spPr>
        <a:xfrm>
          <a:off x="142875" y="472440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4</a:t>
          </a:r>
        </a:p>
      </xdr:txBody>
    </xdr:sp>
    <xdr:clientData/>
  </xdr:twoCellAnchor>
  <xdr:oneCellAnchor>
    <xdr:from>
      <xdr:col>1</xdr:col>
      <xdr:colOff>1419225</xdr:colOff>
      <xdr:row>18</xdr:row>
      <xdr:rowOff>0</xdr:rowOff>
    </xdr:from>
    <xdr:ext cx="137391" cy="133350"/>
    <xdr:pic macro="[0]!capital_cost">
      <xdr:nvPicPr>
        <xdr:cNvPr id="60" name="Picture 59">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10"/>
        <a:stretch>
          <a:fillRect/>
        </a:stretch>
      </xdr:blipFill>
      <xdr:spPr>
        <a:xfrm>
          <a:off x="3467100" y="4505325"/>
          <a:ext cx="137391" cy="133350"/>
        </a:xfrm>
        <a:prstGeom prst="rect">
          <a:avLst/>
        </a:prstGeom>
      </xdr:spPr>
    </xdr:pic>
    <xdr:clientData/>
  </xdr:oneCellAnchor>
  <xdr:twoCellAnchor editAs="oneCell">
    <xdr:from>
      <xdr:col>1</xdr:col>
      <xdr:colOff>718185</xdr:colOff>
      <xdr:row>60</xdr:row>
      <xdr:rowOff>13335</xdr:rowOff>
    </xdr:from>
    <xdr:to>
      <xdr:col>1</xdr:col>
      <xdr:colOff>859929</xdr:colOff>
      <xdr:row>61</xdr:row>
      <xdr:rowOff>2679</xdr:rowOff>
    </xdr:to>
    <xdr:pic macro="[0]!catalyst">
      <xdr:nvPicPr>
        <xdr:cNvPr id="61" name="Picture 60">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11"/>
        <a:stretch>
          <a:fillRect/>
        </a:stretch>
      </xdr:blipFill>
      <xdr:spPr>
        <a:xfrm>
          <a:off x="2766060" y="12348210"/>
          <a:ext cx="134124" cy="132219"/>
        </a:xfrm>
        <a:prstGeom prst="rect">
          <a:avLst/>
        </a:prstGeom>
      </xdr:spPr>
    </xdr:pic>
    <xdr:clientData/>
  </xdr:twoCellAnchor>
  <xdr:twoCellAnchor editAs="oneCell">
    <xdr:from>
      <xdr:col>1</xdr:col>
      <xdr:colOff>1400175</xdr:colOff>
      <xdr:row>55</xdr:row>
      <xdr:rowOff>9525</xdr:rowOff>
    </xdr:from>
    <xdr:to>
      <xdr:col>1</xdr:col>
      <xdr:colOff>1540014</xdr:colOff>
      <xdr:row>56</xdr:row>
      <xdr:rowOff>774</xdr:rowOff>
    </xdr:to>
    <xdr:pic macro="[0]!economic_solvent">
      <xdr:nvPicPr>
        <xdr:cNvPr id="62" name="Picture 6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11"/>
        <a:stretch>
          <a:fillRect/>
        </a:stretch>
      </xdr:blipFill>
      <xdr:spPr>
        <a:xfrm>
          <a:off x="3448050" y="11630025"/>
          <a:ext cx="134124" cy="134124"/>
        </a:xfrm>
        <a:prstGeom prst="rect">
          <a:avLst/>
        </a:prstGeom>
      </xdr:spPr>
    </xdr:pic>
    <xdr:clientData/>
  </xdr:twoCellAnchor>
  <xdr:twoCellAnchor editAs="oneCell">
    <xdr:from>
      <xdr:col>1</xdr:col>
      <xdr:colOff>1419225</xdr:colOff>
      <xdr:row>46</xdr:row>
      <xdr:rowOff>9525</xdr:rowOff>
    </xdr:from>
    <xdr:to>
      <xdr:col>1</xdr:col>
      <xdr:colOff>1541919</xdr:colOff>
      <xdr:row>47</xdr:row>
      <xdr:rowOff>774</xdr:rowOff>
    </xdr:to>
    <xdr:pic macro="[0]!economic_energy">
      <xdr:nvPicPr>
        <xdr:cNvPr id="49" name="Picture 48">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r:embed="rId11"/>
        <a:stretch>
          <a:fillRect/>
        </a:stretch>
      </xdr:blipFill>
      <xdr:spPr>
        <a:xfrm>
          <a:off x="3467100" y="8591550"/>
          <a:ext cx="134124" cy="1341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0</xdr:row>
      <xdr:rowOff>104775</xdr:rowOff>
    </xdr:from>
    <xdr:to>
      <xdr:col>10</xdr:col>
      <xdr:colOff>749935</xdr:colOff>
      <xdr:row>0</xdr:row>
      <xdr:rowOff>1782657</xdr:rowOff>
    </xdr:to>
    <xdr:grpSp>
      <xdr:nvGrpSpPr>
        <xdr:cNvPr id="60" name="Group 59">
          <a:extLst>
            <a:ext uri="{FF2B5EF4-FFF2-40B4-BE49-F238E27FC236}">
              <a16:creationId xmlns:a16="http://schemas.microsoft.com/office/drawing/2014/main" id="{5BB53177-3C3B-446A-BC54-B419B7B0A794}"/>
            </a:ext>
          </a:extLst>
        </xdr:cNvPr>
        <xdr:cNvGrpSpPr/>
      </xdr:nvGrpSpPr>
      <xdr:grpSpPr>
        <a:xfrm>
          <a:off x="255270" y="102870"/>
          <a:ext cx="16464280" cy="1677882"/>
          <a:chOff x="171450" y="91441"/>
          <a:chExt cx="16462375" cy="1683597"/>
        </a:xfrm>
      </xdr:grpSpPr>
      <xdr:pic>
        <xdr:nvPicPr>
          <xdr:cNvPr id="61" name="Picture 60">
            <a:extLst>
              <a:ext uri="{FF2B5EF4-FFF2-40B4-BE49-F238E27FC236}">
                <a16:creationId xmlns:a16="http://schemas.microsoft.com/office/drawing/2014/main" id="{B23DCE82-C8B9-4946-B235-AFFE9DC6FA13}"/>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62" name="Group 61">
            <a:extLst>
              <a:ext uri="{FF2B5EF4-FFF2-40B4-BE49-F238E27FC236}">
                <a16:creationId xmlns:a16="http://schemas.microsoft.com/office/drawing/2014/main" id="{5B4FA1C8-10E7-4E22-B299-6F7FDD51EACC}"/>
              </a:ext>
            </a:extLst>
          </xdr:cNvPr>
          <xdr:cNvGrpSpPr/>
        </xdr:nvGrpSpPr>
        <xdr:grpSpPr>
          <a:xfrm>
            <a:off x="167640" y="95251"/>
            <a:ext cx="16462375" cy="1675977"/>
            <a:chOff x="167640" y="95251"/>
            <a:chExt cx="16462375" cy="1675977"/>
          </a:xfrm>
        </xdr:grpSpPr>
        <xdr:grpSp>
          <xdr:nvGrpSpPr>
            <xdr:cNvPr id="63" name="Group 62">
              <a:extLst>
                <a:ext uri="{FF2B5EF4-FFF2-40B4-BE49-F238E27FC236}">
                  <a16:creationId xmlns:a16="http://schemas.microsoft.com/office/drawing/2014/main" id="{A6D7D28E-F4BC-47DE-9536-90355D4C8E0D}"/>
                </a:ext>
              </a:extLst>
            </xdr:cNvPr>
            <xdr:cNvGrpSpPr/>
          </xdr:nvGrpSpPr>
          <xdr:grpSpPr>
            <a:xfrm>
              <a:off x="171450" y="91441"/>
              <a:ext cx="16462375" cy="1683597"/>
              <a:chOff x="171449" y="38100"/>
              <a:chExt cx="16659225" cy="1704975"/>
            </a:xfrm>
          </xdr:grpSpPr>
          <xdr:grpSp>
            <xdr:nvGrpSpPr>
              <xdr:cNvPr id="65" name="Group 64">
                <a:extLst>
                  <a:ext uri="{FF2B5EF4-FFF2-40B4-BE49-F238E27FC236}">
                    <a16:creationId xmlns:a16="http://schemas.microsoft.com/office/drawing/2014/main" id="{253481CE-58D8-486F-B4AD-7EE97E64C1BA}"/>
                  </a:ext>
                </a:extLst>
              </xdr:cNvPr>
              <xdr:cNvGrpSpPr/>
            </xdr:nvGrpSpPr>
            <xdr:grpSpPr>
              <a:xfrm>
                <a:off x="171449" y="38100"/>
                <a:ext cx="16659225" cy="1704975"/>
                <a:chOff x="171449" y="38100"/>
                <a:chExt cx="16659225" cy="1704975"/>
              </a:xfrm>
            </xdr:grpSpPr>
            <xdr:pic>
              <xdr:nvPicPr>
                <xdr:cNvPr id="68" name="Picture 67" descr="catalisti.be">
                  <a:extLst>
                    <a:ext uri="{FF2B5EF4-FFF2-40B4-BE49-F238E27FC236}">
                      <a16:creationId xmlns:a16="http://schemas.microsoft.com/office/drawing/2014/main" id="{B2655523-9EC9-4EC0-982E-9D922D2722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9" name="Rectangle 68">
                  <a:extLst>
                    <a:ext uri="{FF2B5EF4-FFF2-40B4-BE49-F238E27FC236}">
                      <a16:creationId xmlns:a16="http://schemas.microsoft.com/office/drawing/2014/main" id="{A3F6A8C3-BCB5-46D3-8390-44573615E8B8}"/>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70" name="Rectangle: Rounded Corners 69">
                  <a:extLst>
                    <a:ext uri="{FF2B5EF4-FFF2-40B4-BE49-F238E27FC236}">
                      <a16:creationId xmlns:a16="http://schemas.microsoft.com/office/drawing/2014/main" id="{010B3DE0-9BC1-41F5-82AD-3D4B8A39550A}"/>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71" name="Picture 70">
                  <a:extLst>
                    <a:ext uri="{FF2B5EF4-FFF2-40B4-BE49-F238E27FC236}">
                      <a16:creationId xmlns:a16="http://schemas.microsoft.com/office/drawing/2014/main" id="{A294AB42-1081-4A7E-A933-E70CDF230FC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72" name="Picture 71">
                  <a:extLst>
                    <a:ext uri="{FF2B5EF4-FFF2-40B4-BE49-F238E27FC236}">
                      <a16:creationId xmlns:a16="http://schemas.microsoft.com/office/drawing/2014/main" id="{2BBD79C5-80AD-400B-8F85-EE804A248B1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73" name="Picture 72">
                  <a:extLst>
                    <a:ext uri="{FF2B5EF4-FFF2-40B4-BE49-F238E27FC236}">
                      <a16:creationId xmlns:a16="http://schemas.microsoft.com/office/drawing/2014/main" id="{39832A74-33A5-431E-90F0-F8202270984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74" name="Picture 73">
                  <a:extLst>
                    <a:ext uri="{FF2B5EF4-FFF2-40B4-BE49-F238E27FC236}">
                      <a16:creationId xmlns:a16="http://schemas.microsoft.com/office/drawing/2014/main" id="{98CA4937-0595-4C82-ADF4-9FCDB755D6F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66" name="Picture 65">
                <a:extLst>
                  <a:ext uri="{FF2B5EF4-FFF2-40B4-BE49-F238E27FC236}">
                    <a16:creationId xmlns:a16="http://schemas.microsoft.com/office/drawing/2014/main" id="{A3ABD2BC-F8FE-4227-AF80-35D95149CD4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67" name="TextBox 66">
                <a:extLst>
                  <a:ext uri="{FF2B5EF4-FFF2-40B4-BE49-F238E27FC236}">
                    <a16:creationId xmlns:a16="http://schemas.microsoft.com/office/drawing/2014/main" id="{D8827590-CE74-47B5-A6DC-9C58EC95CC6F}"/>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64" name="Picture 63">
              <a:extLst>
                <a:ext uri="{FF2B5EF4-FFF2-40B4-BE49-F238E27FC236}">
                  <a16:creationId xmlns:a16="http://schemas.microsoft.com/office/drawing/2014/main" id="{F2523290-B894-4105-86B5-D81B8E2618A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1011555</xdr:colOff>
      <xdr:row>4</xdr:row>
      <xdr:rowOff>133350</xdr:rowOff>
    </xdr:from>
    <xdr:to>
      <xdr:col>0</xdr:col>
      <xdr:colOff>1621155</xdr:colOff>
      <xdr:row>8</xdr:row>
      <xdr:rowOff>59055</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1007745" y="2491740"/>
          <a:ext cx="609600" cy="497205"/>
          <a:chOff x="13464540" y="68580"/>
          <a:chExt cx="609600" cy="662940"/>
        </a:xfrm>
      </xdr:grpSpPr>
      <xdr:pic macro="[0]!Next_worksheet">
        <xdr:nvPicPr>
          <xdr:cNvPr id="12" name="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3" name="TextBox 12">
            <a:extLst>
              <a:ext uri="{FF2B5EF4-FFF2-40B4-BE49-F238E27FC236}">
                <a16:creationId xmlns:a16="http://schemas.microsoft.com/office/drawing/2014/main" id="{00000000-0008-0000-0800-00000D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361950</xdr:colOff>
      <xdr:row>4</xdr:row>
      <xdr:rowOff>114300</xdr:rowOff>
    </xdr:from>
    <xdr:to>
      <xdr:col>0</xdr:col>
      <xdr:colOff>971550</xdr:colOff>
      <xdr:row>8</xdr:row>
      <xdr:rowOff>72390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358140" y="2476500"/>
          <a:ext cx="609600" cy="529590"/>
          <a:chOff x="12801600" y="129540"/>
          <a:chExt cx="609600" cy="685800"/>
        </a:xfrm>
      </xdr:grpSpPr>
      <xdr:pic macro="[0]!Previous_worksheet">
        <xdr:nvPicPr>
          <xdr:cNvPr id="15" name="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8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oneCell">
    <xdr:from>
      <xdr:col>3</xdr:col>
      <xdr:colOff>352425</xdr:colOff>
      <xdr:row>3</xdr:row>
      <xdr:rowOff>28575</xdr:rowOff>
    </xdr:from>
    <xdr:to>
      <xdr:col>3</xdr:col>
      <xdr:colOff>555897</xdr:colOff>
      <xdr:row>3</xdr:row>
      <xdr:rowOff>229760</xdr:rowOff>
    </xdr:to>
    <xdr:pic macro="[0]!Data_Environmental">
      <xdr:nvPicPr>
        <xdr:cNvPr id="18" name="Picture 17">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10"/>
        <a:stretch>
          <a:fillRect/>
        </a:stretch>
      </xdr:blipFill>
      <xdr:spPr>
        <a:xfrm>
          <a:off x="5495925" y="2143125"/>
          <a:ext cx="207282" cy="201185"/>
        </a:xfrm>
        <a:prstGeom prst="rect">
          <a:avLst/>
        </a:prstGeom>
      </xdr:spPr>
    </xdr:pic>
    <xdr:clientData/>
  </xdr:twoCellAnchor>
  <xdr:twoCellAnchor editAs="oneCell">
    <xdr:from>
      <xdr:col>0</xdr:col>
      <xdr:colOff>523875</xdr:colOff>
      <xdr:row>74</xdr:row>
      <xdr:rowOff>171450</xdr:rowOff>
    </xdr:from>
    <xdr:to>
      <xdr:col>0</xdr:col>
      <xdr:colOff>1426845</xdr:colOff>
      <xdr:row>78</xdr:row>
      <xdr:rowOff>135255</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521970" y="13836015"/>
          <a:ext cx="908685" cy="687705"/>
          <a:chOff x="12771120" y="8145780"/>
          <a:chExt cx="906780" cy="739140"/>
        </a:xfrm>
      </xdr:grpSpPr>
      <xdr:pic macro="[0]!Top_of_page">
        <xdr:nvPicPr>
          <xdr:cNvPr id="20" name="Picture 19">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21" name="TextBox 20">
            <a:extLst>
              <a:ext uri="{FF2B5EF4-FFF2-40B4-BE49-F238E27FC236}">
                <a16:creationId xmlns:a16="http://schemas.microsoft.com/office/drawing/2014/main" id="{00000000-0008-0000-0800-000015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4</xdr:col>
      <xdr:colOff>904875</xdr:colOff>
      <xdr:row>7</xdr:row>
      <xdr:rowOff>9525</xdr:rowOff>
    </xdr:from>
    <xdr:to>
      <xdr:col>4</xdr:col>
      <xdr:colOff>1046076</xdr:colOff>
      <xdr:row>8</xdr:row>
      <xdr:rowOff>0</xdr:rowOff>
    </xdr:to>
    <xdr:pic macro="[0]!Unit">
      <xdr:nvPicPr>
        <xdr:cNvPr id="41" name="Picture 40">
          <a:extLst>
            <a:ext uri="{FF2B5EF4-FFF2-40B4-BE49-F238E27FC236}">
              <a16:creationId xmlns:a16="http://schemas.microsoft.com/office/drawing/2014/main" id="{00000000-0008-0000-0800-000029000000}"/>
            </a:ext>
          </a:extLst>
        </xdr:cNvPr>
        <xdr:cNvPicPr>
          <a:picLocks noChangeAspect="1"/>
        </xdr:cNvPicPr>
      </xdr:nvPicPr>
      <xdr:blipFill>
        <a:blip xmlns:r="http://schemas.openxmlformats.org/officeDocument/2006/relationships" r:embed="rId10"/>
        <a:stretch>
          <a:fillRect/>
        </a:stretch>
      </xdr:blipFill>
      <xdr:spPr>
        <a:xfrm>
          <a:off x="8763000" y="4086225"/>
          <a:ext cx="137391" cy="133350"/>
        </a:xfrm>
        <a:prstGeom prst="rect">
          <a:avLst/>
        </a:prstGeom>
      </xdr:spPr>
    </xdr:pic>
    <xdr:clientData/>
  </xdr:twoCellAnchor>
  <xdr:twoCellAnchor editAs="oneCell">
    <xdr:from>
      <xdr:col>5</xdr:col>
      <xdr:colOff>1085850</xdr:colOff>
      <xdr:row>7</xdr:row>
      <xdr:rowOff>9525</xdr:rowOff>
    </xdr:from>
    <xdr:to>
      <xdr:col>5</xdr:col>
      <xdr:colOff>1234671</xdr:colOff>
      <xdr:row>8</xdr:row>
      <xdr:rowOff>0</xdr:rowOff>
    </xdr:to>
    <xdr:pic macro="[0]!Indicative_value">
      <xdr:nvPicPr>
        <xdr:cNvPr id="42" name="Picture 41">
          <a:extLst>
            <a:ext uri="{FF2B5EF4-FFF2-40B4-BE49-F238E27FC236}">
              <a16:creationId xmlns:a16="http://schemas.microsoft.com/office/drawing/2014/main" id="{00000000-0008-0000-0800-00002A000000}"/>
            </a:ext>
          </a:extLst>
        </xdr:cNvPr>
        <xdr:cNvPicPr>
          <a:picLocks noChangeAspect="1"/>
        </xdr:cNvPicPr>
      </xdr:nvPicPr>
      <xdr:blipFill>
        <a:blip xmlns:r="http://schemas.openxmlformats.org/officeDocument/2006/relationships" r:embed="rId10"/>
        <a:stretch>
          <a:fillRect/>
        </a:stretch>
      </xdr:blipFill>
      <xdr:spPr>
        <a:xfrm>
          <a:off x="9991725" y="3800475"/>
          <a:ext cx="137391" cy="133350"/>
        </a:xfrm>
        <a:prstGeom prst="rect">
          <a:avLst/>
        </a:prstGeom>
      </xdr:spPr>
    </xdr:pic>
    <xdr:clientData/>
  </xdr:twoCellAnchor>
  <xdr:twoCellAnchor editAs="oneCell">
    <xdr:from>
      <xdr:col>6</xdr:col>
      <xdr:colOff>771525</xdr:colOff>
      <xdr:row>7</xdr:row>
      <xdr:rowOff>9524</xdr:rowOff>
    </xdr:from>
    <xdr:to>
      <xdr:col>6</xdr:col>
      <xdr:colOff>897486</xdr:colOff>
      <xdr:row>7</xdr:row>
      <xdr:rowOff>133349</xdr:rowOff>
    </xdr:to>
    <xdr:pic macro="[0]!Parameterrange">
      <xdr:nvPicPr>
        <xdr:cNvPr id="43" name="Picture 42">
          <a:extLst>
            <a:ext uri="{FF2B5EF4-FFF2-40B4-BE49-F238E27FC236}">
              <a16:creationId xmlns:a16="http://schemas.microsoft.com/office/drawing/2014/main" id="{00000000-0008-0000-0800-00002B000000}"/>
            </a:ext>
          </a:extLst>
        </xdr:cNvPr>
        <xdr:cNvPicPr>
          <a:picLocks noChangeAspect="1"/>
        </xdr:cNvPicPr>
      </xdr:nvPicPr>
      <xdr:blipFill>
        <a:blip xmlns:r="http://schemas.openxmlformats.org/officeDocument/2006/relationships" r:embed="rId10"/>
        <a:stretch>
          <a:fillRect/>
        </a:stretch>
      </xdr:blipFill>
      <xdr:spPr>
        <a:xfrm>
          <a:off x="11058525" y="3800474"/>
          <a:ext cx="137391" cy="133350"/>
        </a:xfrm>
        <a:prstGeom prst="rect">
          <a:avLst/>
        </a:prstGeom>
      </xdr:spPr>
    </xdr:pic>
    <xdr:clientData/>
  </xdr:twoCellAnchor>
  <xdr:twoCellAnchor editAs="oneCell">
    <xdr:from>
      <xdr:col>8</xdr:col>
      <xdr:colOff>95250</xdr:colOff>
      <xdr:row>5</xdr:row>
      <xdr:rowOff>133350</xdr:rowOff>
    </xdr:from>
    <xdr:to>
      <xdr:col>8</xdr:col>
      <xdr:colOff>244071</xdr:colOff>
      <xdr:row>6</xdr:row>
      <xdr:rowOff>133350</xdr:rowOff>
    </xdr:to>
    <xdr:pic macro="[0]!Pathwayvalues">
      <xdr:nvPicPr>
        <xdr:cNvPr id="47" name="Picture 46">
          <a:extLst>
            <a:ext uri="{FF2B5EF4-FFF2-40B4-BE49-F238E27FC236}">
              <a16:creationId xmlns:a16="http://schemas.microsoft.com/office/drawing/2014/main" id="{00000000-0008-0000-0800-00002F000000}"/>
            </a:ext>
          </a:extLst>
        </xdr:cNvPr>
        <xdr:cNvPicPr>
          <a:picLocks noChangeAspect="1"/>
        </xdr:cNvPicPr>
      </xdr:nvPicPr>
      <xdr:blipFill>
        <a:blip xmlns:r="http://schemas.openxmlformats.org/officeDocument/2006/relationships" r:embed="rId10"/>
        <a:stretch>
          <a:fillRect/>
        </a:stretch>
      </xdr:blipFill>
      <xdr:spPr>
        <a:xfrm>
          <a:off x="12344400" y="3638550"/>
          <a:ext cx="137391" cy="133350"/>
        </a:xfrm>
        <a:prstGeom prst="rect">
          <a:avLst/>
        </a:prstGeom>
      </xdr:spPr>
    </xdr:pic>
    <xdr:clientData/>
  </xdr:twoCellAnchor>
  <xdr:twoCellAnchor editAs="oneCell">
    <xdr:from>
      <xdr:col>7</xdr:col>
      <xdr:colOff>828675</xdr:colOff>
      <xdr:row>7</xdr:row>
      <xdr:rowOff>9525</xdr:rowOff>
    </xdr:from>
    <xdr:to>
      <xdr:col>7</xdr:col>
      <xdr:colOff>972324</xdr:colOff>
      <xdr:row>8</xdr:row>
      <xdr:rowOff>774</xdr:rowOff>
    </xdr:to>
    <xdr:pic macro="[0]!Data_type">
      <xdr:nvPicPr>
        <xdr:cNvPr id="48" name="Picture 47">
          <a:extLst>
            <a:ext uri="{FF2B5EF4-FFF2-40B4-BE49-F238E27FC236}">
              <a16:creationId xmlns:a16="http://schemas.microsoft.com/office/drawing/2014/main" id="{00000000-0008-0000-0800-000030000000}"/>
            </a:ext>
          </a:extLst>
        </xdr:cNvPr>
        <xdr:cNvPicPr>
          <a:picLocks noChangeAspect="1"/>
        </xdr:cNvPicPr>
      </xdr:nvPicPr>
      <xdr:blipFill>
        <a:blip xmlns:r="http://schemas.openxmlformats.org/officeDocument/2006/relationships" r:embed="rId11"/>
        <a:stretch>
          <a:fillRect/>
        </a:stretch>
      </xdr:blipFill>
      <xdr:spPr>
        <a:xfrm>
          <a:off x="12163425" y="4086225"/>
          <a:ext cx="134124" cy="134124"/>
        </a:xfrm>
        <a:prstGeom prst="rect">
          <a:avLst/>
        </a:prstGeom>
      </xdr:spPr>
    </xdr:pic>
    <xdr:clientData/>
  </xdr:twoCellAnchor>
  <xdr:twoCellAnchor editAs="oneCell">
    <xdr:from>
      <xdr:col>1</xdr:col>
      <xdr:colOff>1600200</xdr:colOff>
      <xdr:row>8</xdr:row>
      <xdr:rowOff>9525</xdr:rowOff>
    </xdr:from>
    <xdr:to>
      <xdr:col>1</xdr:col>
      <xdr:colOff>1730514</xdr:colOff>
      <xdr:row>9</xdr:row>
      <xdr:rowOff>774</xdr:rowOff>
    </xdr:to>
    <xdr:pic macro="[0]!Characterization_factor">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1"/>
        <a:stretch>
          <a:fillRect/>
        </a:stretch>
      </xdr:blipFill>
      <xdr:spPr>
        <a:xfrm>
          <a:off x="3648075" y="4371975"/>
          <a:ext cx="134124" cy="134124"/>
        </a:xfrm>
        <a:prstGeom prst="rect">
          <a:avLst/>
        </a:prstGeom>
      </xdr:spPr>
    </xdr:pic>
    <xdr:clientData/>
  </xdr:twoCellAnchor>
  <xdr:twoCellAnchor editAs="absolute">
    <xdr:from>
      <xdr:col>0</xdr:col>
      <xdr:colOff>190500</xdr:colOff>
      <xdr:row>9</xdr:row>
      <xdr:rowOff>76200</xdr:rowOff>
    </xdr:from>
    <xdr:to>
      <xdr:col>0</xdr:col>
      <xdr:colOff>1847850</xdr:colOff>
      <xdr:row>11</xdr:row>
      <xdr:rowOff>57150</xdr:rowOff>
    </xdr:to>
    <xdr:sp macro="[0]!Go_to_summary" textlink="">
      <xdr:nvSpPr>
        <xdr:cNvPr id="22" name="Rounded Rectangle 25" descr="a1ec76fa-1c7c-441d-acf3-5143d53a592c">
          <a:hlinkClick xmlns:r="http://schemas.openxmlformats.org/officeDocument/2006/relationships" r:id="rId12"/>
          <a:extLst>
            <a:ext uri="{FF2B5EF4-FFF2-40B4-BE49-F238E27FC236}">
              <a16:creationId xmlns:a16="http://schemas.microsoft.com/office/drawing/2014/main" id="{00000000-0008-0000-0800-000016000000}"/>
            </a:ext>
          </a:extLst>
        </xdr:cNvPr>
        <xdr:cNvSpPr/>
      </xdr:nvSpPr>
      <xdr:spPr>
        <a:xfrm>
          <a:off x="190500" y="32956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1</a:t>
          </a:r>
        </a:p>
      </xdr:txBody>
    </xdr:sp>
    <xdr:clientData/>
  </xdr:twoCellAnchor>
  <xdr:twoCellAnchor editAs="absolute">
    <xdr:from>
      <xdr:col>0</xdr:col>
      <xdr:colOff>190500</xdr:colOff>
      <xdr:row>12</xdr:row>
      <xdr:rowOff>15240</xdr:rowOff>
    </xdr:from>
    <xdr:to>
      <xdr:col>0</xdr:col>
      <xdr:colOff>1847850</xdr:colOff>
      <xdr:row>13</xdr:row>
      <xdr:rowOff>148590</xdr:rowOff>
    </xdr:to>
    <xdr:sp macro="" textlink="">
      <xdr:nvSpPr>
        <xdr:cNvPr id="23" name="Rounded Rectangle 25" descr="be40bb3c-4ade-4810-a721-486d5863e086">
          <a:hlinkClick xmlns:r="http://schemas.openxmlformats.org/officeDocument/2006/relationships" r:id="rId13"/>
          <a:extLst>
            <a:ext uri="{FF2B5EF4-FFF2-40B4-BE49-F238E27FC236}">
              <a16:creationId xmlns:a16="http://schemas.microsoft.com/office/drawing/2014/main" id="{00000000-0008-0000-0800-000017000000}"/>
            </a:ext>
          </a:extLst>
        </xdr:cNvPr>
        <xdr:cNvSpPr/>
      </xdr:nvSpPr>
      <xdr:spPr>
        <a:xfrm>
          <a:off x="190500" y="378142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2</a:t>
          </a:r>
        </a:p>
      </xdr:txBody>
    </xdr:sp>
    <xdr:clientData/>
  </xdr:twoCellAnchor>
  <xdr:twoCellAnchor editAs="absolute">
    <xdr:from>
      <xdr:col>0</xdr:col>
      <xdr:colOff>190500</xdr:colOff>
      <xdr:row>14</xdr:row>
      <xdr:rowOff>114300</xdr:rowOff>
    </xdr:from>
    <xdr:to>
      <xdr:col>0</xdr:col>
      <xdr:colOff>1847850</xdr:colOff>
      <xdr:row>16</xdr:row>
      <xdr:rowOff>95250</xdr:rowOff>
    </xdr:to>
    <xdr:sp macro="" textlink="">
      <xdr:nvSpPr>
        <xdr:cNvPr id="24" name="Rounded Rectangle 25" descr="a44b11f5-7254-4fdc-83c0-65ce6705b6fe">
          <a:hlinkClick xmlns:r="http://schemas.openxmlformats.org/officeDocument/2006/relationships" r:id="rId14"/>
          <a:extLst>
            <a:ext uri="{FF2B5EF4-FFF2-40B4-BE49-F238E27FC236}">
              <a16:creationId xmlns:a16="http://schemas.microsoft.com/office/drawing/2014/main" id="{00000000-0008-0000-0800-000018000000}"/>
            </a:ext>
          </a:extLst>
        </xdr:cNvPr>
        <xdr:cNvSpPr/>
      </xdr:nvSpPr>
      <xdr:spPr>
        <a:xfrm>
          <a:off x="190500" y="423862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3</a:t>
          </a:r>
        </a:p>
      </xdr:txBody>
    </xdr:sp>
    <xdr:clientData/>
  </xdr:twoCellAnchor>
  <xdr:twoCellAnchor editAs="absolute">
    <xdr:from>
      <xdr:col>0</xdr:col>
      <xdr:colOff>190500</xdr:colOff>
      <xdr:row>17</xdr:row>
      <xdr:rowOff>15240</xdr:rowOff>
    </xdr:from>
    <xdr:to>
      <xdr:col>0</xdr:col>
      <xdr:colOff>1847850</xdr:colOff>
      <xdr:row>18</xdr:row>
      <xdr:rowOff>148590</xdr:rowOff>
    </xdr:to>
    <xdr:sp macro="" textlink="">
      <xdr:nvSpPr>
        <xdr:cNvPr id="25" name="Rounded Rectangle 25" descr="52b3aadc-ff27-498d-b543-61c5d8ce0fc9">
          <a:hlinkClick xmlns:r="http://schemas.openxmlformats.org/officeDocument/2006/relationships" r:id="rId15"/>
          <a:extLst>
            <a:ext uri="{FF2B5EF4-FFF2-40B4-BE49-F238E27FC236}">
              <a16:creationId xmlns:a16="http://schemas.microsoft.com/office/drawing/2014/main" id="{00000000-0008-0000-0800-000019000000}"/>
            </a:ext>
          </a:extLst>
        </xdr:cNvPr>
        <xdr:cNvSpPr/>
      </xdr:nvSpPr>
      <xdr:spPr>
        <a:xfrm>
          <a:off x="190500" y="468630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pathway 4</a:t>
          </a:r>
        </a:p>
      </xdr:txBody>
    </xdr:sp>
    <xdr:clientData/>
  </xdr:twoCellAnchor>
  <xdr:twoCellAnchor editAs="oneCell">
    <xdr:from>
      <xdr:col>1</xdr:col>
      <xdr:colOff>1409700</xdr:colOff>
      <xdr:row>44</xdr:row>
      <xdr:rowOff>28575</xdr:rowOff>
    </xdr:from>
    <xdr:to>
      <xdr:col>1</xdr:col>
      <xdr:colOff>1540014</xdr:colOff>
      <xdr:row>45</xdr:row>
      <xdr:rowOff>774</xdr:rowOff>
    </xdr:to>
    <xdr:pic macro="[0]!Greenmetrics_solvent">
      <xdr:nvPicPr>
        <xdr:cNvPr id="26" name="Picture 25">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11"/>
        <a:stretch>
          <a:fillRect/>
        </a:stretch>
      </xdr:blipFill>
      <xdr:spPr>
        <a:xfrm>
          <a:off x="3457575" y="10325100"/>
          <a:ext cx="134124" cy="134124"/>
        </a:xfrm>
        <a:prstGeom prst="rect">
          <a:avLst/>
        </a:prstGeom>
      </xdr:spPr>
    </xdr:pic>
    <xdr:clientData/>
  </xdr:twoCellAnchor>
  <xdr:twoCellAnchor editAs="oneCell">
    <xdr:from>
      <xdr:col>1</xdr:col>
      <xdr:colOff>1009650</xdr:colOff>
      <xdr:row>21</xdr:row>
      <xdr:rowOff>133350</xdr:rowOff>
    </xdr:from>
    <xdr:to>
      <xdr:col>1</xdr:col>
      <xdr:colOff>1143774</xdr:colOff>
      <xdr:row>22</xdr:row>
      <xdr:rowOff>134124</xdr:rowOff>
    </xdr:to>
    <xdr:pic macro="[0]!Impact_factor">
      <xdr:nvPicPr>
        <xdr:cNvPr id="28" name="Picture 27">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11"/>
        <a:stretch>
          <a:fillRect/>
        </a:stretch>
      </xdr:blipFill>
      <xdr:spPr>
        <a:xfrm>
          <a:off x="3057525" y="6591300"/>
          <a:ext cx="134124" cy="1341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264795</xdr:colOff>
      <xdr:row>0</xdr:row>
      <xdr:rowOff>87630</xdr:rowOff>
    </xdr:from>
    <xdr:to>
      <xdr:col>22</xdr:col>
      <xdr:colOff>107950</xdr:colOff>
      <xdr:row>0</xdr:row>
      <xdr:rowOff>1769322</xdr:rowOff>
    </xdr:to>
    <xdr:grpSp>
      <xdr:nvGrpSpPr>
        <xdr:cNvPr id="67" name="Group 66">
          <a:extLst>
            <a:ext uri="{FF2B5EF4-FFF2-40B4-BE49-F238E27FC236}">
              <a16:creationId xmlns:a16="http://schemas.microsoft.com/office/drawing/2014/main" id="{7307372F-A186-42F2-B237-053A9FD98EEA}"/>
            </a:ext>
          </a:extLst>
        </xdr:cNvPr>
        <xdr:cNvGrpSpPr/>
      </xdr:nvGrpSpPr>
      <xdr:grpSpPr>
        <a:xfrm>
          <a:off x="264795" y="91440"/>
          <a:ext cx="16452850" cy="1681692"/>
          <a:chOff x="171450" y="91441"/>
          <a:chExt cx="16462375" cy="1683597"/>
        </a:xfrm>
      </xdr:grpSpPr>
      <xdr:pic>
        <xdr:nvPicPr>
          <xdr:cNvPr id="68" name="Picture 67">
            <a:extLst>
              <a:ext uri="{FF2B5EF4-FFF2-40B4-BE49-F238E27FC236}">
                <a16:creationId xmlns:a16="http://schemas.microsoft.com/office/drawing/2014/main" id="{33EABE31-2491-4C26-8524-0F9AB39611A1}"/>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69" name="Group 68">
            <a:extLst>
              <a:ext uri="{FF2B5EF4-FFF2-40B4-BE49-F238E27FC236}">
                <a16:creationId xmlns:a16="http://schemas.microsoft.com/office/drawing/2014/main" id="{67B51874-9325-46EE-B4AE-0D7FD10F5771}"/>
              </a:ext>
            </a:extLst>
          </xdr:cNvPr>
          <xdr:cNvGrpSpPr/>
        </xdr:nvGrpSpPr>
        <xdr:grpSpPr>
          <a:xfrm>
            <a:off x="167640" y="95251"/>
            <a:ext cx="16462375" cy="1675977"/>
            <a:chOff x="167640" y="95251"/>
            <a:chExt cx="16462375" cy="1675977"/>
          </a:xfrm>
        </xdr:grpSpPr>
        <xdr:grpSp>
          <xdr:nvGrpSpPr>
            <xdr:cNvPr id="70" name="Group 69">
              <a:extLst>
                <a:ext uri="{FF2B5EF4-FFF2-40B4-BE49-F238E27FC236}">
                  <a16:creationId xmlns:a16="http://schemas.microsoft.com/office/drawing/2014/main" id="{76DCC518-BC1D-4DC9-8CBC-0571839670AE}"/>
                </a:ext>
              </a:extLst>
            </xdr:cNvPr>
            <xdr:cNvGrpSpPr/>
          </xdr:nvGrpSpPr>
          <xdr:grpSpPr>
            <a:xfrm>
              <a:off x="171450" y="91441"/>
              <a:ext cx="16462375" cy="1683597"/>
              <a:chOff x="171449" y="38100"/>
              <a:chExt cx="16659225" cy="1704975"/>
            </a:xfrm>
          </xdr:grpSpPr>
          <xdr:grpSp>
            <xdr:nvGrpSpPr>
              <xdr:cNvPr id="72" name="Group 71">
                <a:extLst>
                  <a:ext uri="{FF2B5EF4-FFF2-40B4-BE49-F238E27FC236}">
                    <a16:creationId xmlns:a16="http://schemas.microsoft.com/office/drawing/2014/main" id="{E2EE5FB2-6A05-4C8F-8851-D33E4A616158}"/>
                  </a:ext>
                </a:extLst>
              </xdr:cNvPr>
              <xdr:cNvGrpSpPr/>
            </xdr:nvGrpSpPr>
            <xdr:grpSpPr>
              <a:xfrm>
                <a:off x="171449" y="38100"/>
                <a:ext cx="16659225" cy="1704975"/>
                <a:chOff x="171449" y="38100"/>
                <a:chExt cx="16659225" cy="1704975"/>
              </a:xfrm>
            </xdr:grpSpPr>
            <xdr:pic>
              <xdr:nvPicPr>
                <xdr:cNvPr id="75" name="Picture 74" descr="catalisti.be">
                  <a:extLst>
                    <a:ext uri="{FF2B5EF4-FFF2-40B4-BE49-F238E27FC236}">
                      <a16:creationId xmlns:a16="http://schemas.microsoft.com/office/drawing/2014/main" id="{92E29A37-4DD2-476C-8236-DF89E07FA8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6" name="Rectangle 75">
                  <a:extLst>
                    <a:ext uri="{FF2B5EF4-FFF2-40B4-BE49-F238E27FC236}">
                      <a16:creationId xmlns:a16="http://schemas.microsoft.com/office/drawing/2014/main" id="{755D2635-7455-49D1-99FF-ECF3D5542F1C}"/>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77" name="Rectangle: Rounded Corners 76">
                  <a:extLst>
                    <a:ext uri="{FF2B5EF4-FFF2-40B4-BE49-F238E27FC236}">
                      <a16:creationId xmlns:a16="http://schemas.microsoft.com/office/drawing/2014/main" id="{FD35C5CF-5BF5-4643-B237-8D29B9601E14}"/>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78" name="Picture 77">
                  <a:extLst>
                    <a:ext uri="{FF2B5EF4-FFF2-40B4-BE49-F238E27FC236}">
                      <a16:creationId xmlns:a16="http://schemas.microsoft.com/office/drawing/2014/main" id="{89BB2DA3-F475-4536-BA1D-4CC7C60B360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79" name="Picture 78">
                  <a:extLst>
                    <a:ext uri="{FF2B5EF4-FFF2-40B4-BE49-F238E27FC236}">
                      <a16:creationId xmlns:a16="http://schemas.microsoft.com/office/drawing/2014/main" id="{F824D559-7DA6-47F5-86C1-DE4AF1C573D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80" name="Picture 79">
                  <a:extLst>
                    <a:ext uri="{FF2B5EF4-FFF2-40B4-BE49-F238E27FC236}">
                      <a16:creationId xmlns:a16="http://schemas.microsoft.com/office/drawing/2014/main" id="{D7E0652C-C5B2-401F-9F5B-AF4CE6753B2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81" name="Picture 80">
                  <a:extLst>
                    <a:ext uri="{FF2B5EF4-FFF2-40B4-BE49-F238E27FC236}">
                      <a16:creationId xmlns:a16="http://schemas.microsoft.com/office/drawing/2014/main" id="{075EC8E1-C74B-480C-ACA7-412713D926D2}"/>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73" name="Picture 72">
                <a:extLst>
                  <a:ext uri="{FF2B5EF4-FFF2-40B4-BE49-F238E27FC236}">
                    <a16:creationId xmlns:a16="http://schemas.microsoft.com/office/drawing/2014/main" id="{D1883D44-5F1E-47BE-A4D3-AE0A7968090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74" name="TextBox 73">
                <a:extLst>
                  <a:ext uri="{FF2B5EF4-FFF2-40B4-BE49-F238E27FC236}">
                    <a16:creationId xmlns:a16="http://schemas.microsoft.com/office/drawing/2014/main" id="{4BE1D703-2474-4FDE-88E7-FCE3DE03EE56}"/>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71" name="Picture 70">
              <a:extLst>
                <a:ext uri="{FF2B5EF4-FFF2-40B4-BE49-F238E27FC236}">
                  <a16:creationId xmlns:a16="http://schemas.microsoft.com/office/drawing/2014/main" id="{201047A3-975C-465A-B30C-B3234C66CF1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1011555</xdr:colOff>
      <xdr:row>4</xdr:row>
      <xdr:rowOff>133350</xdr:rowOff>
    </xdr:from>
    <xdr:to>
      <xdr:col>0</xdr:col>
      <xdr:colOff>1621155</xdr:colOff>
      <xdr:row>9</xdr:row>
      <xdr:rowOff>59055</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1007745" y="2491740"/>
          <a:ext cx="609600" cy="640080"/>
          <a:chOff x="13464540" y="68580"/>
          <a:chExt cx="609600" cy="662940"/>
        </a:xfrm>
      </xdr:grpSpPr>
      <xdr:pic macro="[0]!Next_worksheet">
        <xdr:nvPicPr>
          <xdr:cNvPr id="12" name="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13" name="TextBox 12">
            <a:extLst>
              <a:ext uri="{FF2B5EF4-FFF2-40B4-BE49-F238E27FC236}">
                <a16:creationId xmlns:a16="http://schemas.microsoft.com/office/drawing/2014/main" id="{00000000-0008-0000-0900-00000D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absolute">
    <xdr:from>
      <xdr:col>0</xdr:col>
      <xdr:colOff>361950</xdr:colOff>
      <xdr:row>4</xdr:row>
      <xdr:rowOff>114300</xdr:rowOff>
    </xdr:from>
    <xdr:to>
      <xdr:col>0</xdr:col>
      <xdr:colOff>971550</xdr:colOff>
      <xdr:row>9</xdr:row>
      <xdr:rowOff>72390</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358140" y="2476500"/>
          <a:ext cx="609600" cy="672465"/>
          <a:chOff x="12801600" y="129540"/>
          <a:chExt cx="609600" cy="685800"/>
        </a:xfrm>
      </xdr:grpSpPr>
      <xdr:pic macro="[0]!Previous_worksheet">
        <xdr:nvPicPr>
          <xdr:cNvPr id="15" name="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9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oneCell">
    <xdr:from>
      <xdr:col>0</xdr:col>
      <xdr:colOff>542925</xdr:colOff>
      <xdr:row>39</xdr:row>
      <xdr:rowOff>104775</xdr:rowOff>
    </xdr:from>
    <xdr:to>
      <xdr:col>0</xdr:col>
      <xdr:colOff>1449705</xdr:colOff>
      <xdr:row>44</xdr:row>
      <xdr:rowOff>133350</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544830" y="7656195"/>
          <a:ext cx="904875" cy="741045"/>
          <a:chOff x="12771120" y="8145780"/>
          <a:chExt cx="906780" cy="739140"/>
        </a:xfrm>
      </xdr:grpSpPr>
      <xdr:pic macro="[0]!Top_of_page">
        <xdr:nvPicPr>
          <xdr:cNvPr id="18" name="Picture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19" name="TextBox 18">
            <a:extLst>
              <a:ext uri="{FF2B5EF4-FFF2-40B4-BE49-F238E27FC236}">
                <a16:creationId xmlns:a16="http://schemas.microsoft.com/office/drawing/2014/main" id="{00000000-0008-0000-0900-000013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2</xdr:col>
      <xdr:colOff>361950</xdr:colOff>
      <xdr:row>3</xdr:row>
      <xdr:rowOff>19050</xdr:rowOff>
    </xdr:from>
    <xdr:to>
      <xdr:col>2</xdr:col>
      <xdr:colOff>569232</xdr:colOff>
      <xdr:row>3</xdr:row>
      <xdr:rowOff>212615</xdr:rowOff>
    </xdr:to>
    <xdr:pic macro="[0]!General_data">
      <xdr:nvPicPr>
        <xdr:cNvPr id="20" name="Picture 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0"/>
        <a:stretch>
          <a:fillRect/>
        </a:stretch>
      </xdr:blipFill>
      <xdr:spPr>
        <a:xfrm>
          <a:off x="3686175" y="2133600"/>
          <a:ext cx="207282" cy="201185"/>
        </a:xfrm>
        <a:prstGeom prst="rect">
          <a:avLst/>
        </a:prstGeom>
      </xdr:spPr>
    </xdr:pic>
    <xdr:clientData/>
  </xdr:twoCellAnchor>
  <xdr:twoCellAnchor editAs="absolute">
    <xdr:from>
      <xdr:col>0</xdr:col>
      <xdr:colOff>190499</xdr:colOff>
      <xdr:row>10</xdr:row>
      <xdr:rowOff>114300</xdr:rowOff>
    </xdr:from>
    <xdr:to>
      <xdr:col>0</xdr:col>
      <xdr:colOff>1845944</xdr:colOff>
      <xdr:row>13</xdr:row>
      <xdr:rowOff>19050</xdr:rowOff>
    </xdr:to>
    <xdr:sp macro="[0]!Go_to_summary" textlink="">
      <xdr:nvSpPr>
        <xdr:cNvPr id="34" name="Rounded Rectangle 25" descr="8eed00c3-f605-46a8-9631-107bd9265c93">
          <a:hlinkClick xmlns:r="http://schemas.openxmlformats.org/officeDocument/2006/relationships" r:id="rId11"/>
          <a:extLst>
            <a:ext uri="{FF2B5EF4-FFF2-40B4-BE49-F238E27FC236}">
              <a16:creationId xmlns:a16="http://schemas.microsoft.com/office/drawing/2014/main" id="{00000000-0008-0000-0900-000022000000}"/>
            </a:ext>
          </a:extLst>
        </xdr:cNvPr>
        <xdr:cNvSpPr/>
      </xdr:nvSpPr>
      <xdr:spPr>
        <a:xfrm>
          <a:off x="190499" y="33337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scenario 1</a:t>
          </a:r>
        </a:p>
      </xdr:txBody>
    </xdr:sp>
    <xdr:clientData/>
  </xdr:twoCellAnchor>
  <xdr:twoCellAnchor editAs="absolute">
    <xdr:from>
      <xdr:col>0</xdr:col>
      <xdr:colOff>173355</xdr:colOff>
      <xdr:row>14</xdr:row>
      <xdr:rowOff>19050</xdr:rowOff>
    </xdr:from>
    <xdr:to>
      <xdr:col>0</xdr:col>
      <xdr:colOff>1828800</xdr:colOff>
      <xdr:row>16</xdr:row>
      <xdr:rowOff>19050</xdr:rowOff>
    </xdr:to>
    <xdr:sp macro="" textlink="">
      <xdr:nvSpPr>
        <xdr:cNvPr id="35" name="Rounded Rectangle 25" descr="88bb904f-8abe-4935-895e-21e1f019779b">
          <a:extLst>
            <a:ext uri="{FF2B5EF4-FFF2-40B4-BE49-F238E27FC236}">
              <a16:creationId xmlns:a16="http://schemas.microsoft.com/office/drawing/2014/main" id="{00000000-0008-0000-0900-000023000000}"/>
            </a:ext>
          </a:extLst>
        </xdr:cNvPr>
        <xdr:cNvSpPr/>
      </xdr:nvSpPr>
      <xdr:spPr>
        <a:xfrm>
          <a:off x="180975" y="380047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scenario 2</a:t>
          </a:r>
        </a:p>
      </xdr:txBody>
    </xdr:sp>
    <xdr:clientData/>
  </xdr:twoCellAnchor>
  <xdr:twoCellAnchor editAs="absolute">
    <xdr:from>
      <xdr:col>0</xdr:col>
      <xdr:colOff>173355</xdr:colOff>
      <xdr:row>16</xdr:row>
      <xdr:rowOff>129540</xdr:rowOff>
    </xdr:from>
    <xdr:to>
      <xdr:col>0</xdr:col>
      <xdr:colOff>1828800</xdr:colOff>
      <xdr:row>18</xdr:row>
      <xdr:rowOff>133350</xdr:rowOff>
    </xdr:to>
    <xdr:sp macro="" textlink="">
      <xdr:nvSpPr>
        <xdr:cNvPr id="36" name="Rounded Rectangle 25" descr="994467e0-6f3b-42da-bf23-af0d35d44b7f">
          <a:extLst>
            <a:ext uri="{FF2B5EF4-FFF2-40B4-BE49-F238E27FC236}">
              <a16:creationId xmlns:a16="http://schemas.microsoft.com/office/drawing/2014/main" id="{00000000-0008-0000-0900-000024000000}"/>
            </a:ext>
          </a:extLst>
        </xdr:cNvPr>
        <xdr:cNvSpPr/>
      </xdr:nvSpPr>
      <xdr:spPr>
        <a:xfrm>
          <a:off x="180975" y="4257675"/>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scenario 3</a:t>
          </a:r>
        </a:p>
      </xdr:txBody>
    </xdr:sp>
    <xdr:clientData/>
  </xdr:twoCellAnchor>
  <xdr:twoCellAnchor editAs="absolute">
    <xdr:from>
      <xdr:col>0</xdr:col>
      <xdr:colOff>173355</xdr:colOff>
      <xdr:row>19</xdr:row>
      <xdr:rowOff>53340</xdr:rowOff>
    </xdr:from>
    <xdr:to>
      <xdr:col>0</xdr:col>
      <xdr:colOff>1828800</xdr:colOff>
      <xdr:row>21</xdr:row>
      <xdr:rowOff>19050</xdr:rowOff>
    </xdr:to>
    <xdr:sp macro="" textlink="">
      <xdr:nvSpPr>
        <xdr:cNvPr id="37" name="Rounded Rectangle 25" descr="7d20b980-ce9e-4ccb-82ab-ffe6339f4386">
          <a:extLst>
            <a:ext uri="{FF2B5EF4-FFF2-40B4-BE49-F238E27FC236}">
              <a16:creationId xmlns:a16="http://schemas.microsoft.com/office/drawing/2014/main" id="{00000000-0008-0000-0900-000025000000}"/>
            </a:ext>
          </a:extLst>
        </xdr:cNvPr>
        <xdr:cNvSpPr/>
      </xdr:nvSpPr>
      <xdr:spPr>
        <a:xfrm>
          <a:off x="180975" y="4705350"/>
          <a:ext cx="1647825"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Calculation scenario 4</a:t>
          </a:r>
        </a:p>
      </xdr:txBody>
    </xdr:sp>
    <xdr:clientData/>
  </xdr:twoCellAnchor>
  <xdr:twoCellAnchor editAs="oneCell">
    <xdr:from>
      <xdr:col>1</xdr:col>
      <xdr:colOff>495300</xdr:colOff>
      <xdr:row>7</xdr:row>
      <xdr:rowOff>0</xdr:rowOff>
    </xdr:from>
    <xdr:to>
      <xdr:col>1</xdr:col>
      <xdr:colOff>628881</xdr:colOff>
      <xdr:row>7</xdr:row>
      <xdr:rowOff>129540</xdr:rowOff>
    </xdr:to>
    <xdr:pic macro="[0]!CEPCI">
      <xdr:nvPicPr>
        <xdr:cNvPr id="38" name="Picture 3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10"/>
        <a:stretch>
          <a:fillRect/>
        </a:stretch>
      </xdr:blipFill>
      <xdr:spPr>
        <a:xfrm>
          <a:off x="2543175" y="2924175"/>
          <a:ext cx="137391" cy="133350"/>
        </a:xfrm>
        <a:prstGeom prst="rect">
          <a:avLst/>
        </a:prstGeom>
      </xdr:spPr>
    </xdr:pic>
    <xdr:clientData/>
  </xdr:twoCellAnchor>
  <xdr:twoCellAnchor>
    <xdr:from>
      <xdr:col>5</xdr:col>
      <xdr:colOff>187642</xdr:colOff>
      <xdr:row>40</xdr:row>
      <xdr:rowOff>29527</xdr:rowOff>
    </xdr:from>
    <xdr:to>
      <xdr:col>15</xdr:col>
      <xdr:colOff>76200</xdr:colOff>
      <xdr:row>56</xdr:row>
      <xdr:rowOff>114300</xdr:rowOff>
    </xdr:to>
    <xdr:graphicFrame macro="">
      <xdr:nvGraphicFramePr>
        <xdr:cNvPr id="2" name="Chart 1">
          <a:extLst>
            <a:ext uri="{FF2B5EF4-FFF2-40B4-BE49-F238E27FC236}">
              <a16:creationId xmlns:a16="http://schemas.microsoft.com/office/drawing/2014/main" id="{9345942A-7981-4104-98A9-86271DB9BA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0</xdr:col>
      <xdr:colOff>544830</xdr:colOff>
      <xdr:row>62</xdr:row>
      <xdr:rowOff>102870</xdr:rowOff>
    </xdr:from>
    <xdr:ext cx="904875" cy="744855"/>
    <xdr:grpSp>
      <xdr:nvGrpSpPr>
        <xdr:cNvPr id="32" name="Group 31">
          <a:extLst>
            <a:ext uri="{FF2B5EF4-FFF2-40B4-BE49-F238E27FC236}">
              <a16:creationId xmlns:a16="http://schemas.microsoft.com/office/drawing/2014/main" id="{DEFC492E-C89B-43BD-96E0-1F76BDD1A5E3}"/>
            </a:ext>
          </a:extLst>
        </xdr:cNvPr>
        <xdr:cNvGrpSpPr/>
      </xdr:nvGrpSpPr>
      <xdr:grpSpPr>
        <a:xfrm>
          <a:off x="548640" y="10940415"/>
          <a:ext cx="904875" cy="744855"/>
          <a:chOff x="12771120" y="8145780"/>
          <a:chExt cx="906780" cy="739140"/>
        </a:xfrm>
      </xdr:grpSpPr>
      <xdr:pic macro="[0]!Top_of_page">
        <xdr:nvPicPr>
          <xdr:cNvPr id="33" name="Picture 32">
            <a:extLst>
              <a:ext uri="{FF2B5EF4-FFF2-40B4-BE49-F238E27FC236}">
                <a16:creationId xmlns:a16="http://schemas.microsoft.com/office/drawing/2014/main" id="{9D497A39-BC2E-4F3D-A580-2A97FF6D99B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53" name="TextBox 52">
            <a:extLst>
              <a:ext uri="{FF2B5EF4-FFF2-40B4-BE49-F238E27FC236}">
                <a16:creationId xmlns:a16="http://schemas.microsoft.com/office/drawing/2014/main" id="{DD73CC3E-0732-4CD7-96EC-1A489CA15E23}"/>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oneCellAnchor>
  <xdr:twoCellAnchor>
    <xdr:from>
      <xdr:col>5</xdr:col>
      <xdr:colOff>111441</xdr:colOff>
      <xdr:row>62</xdr:row>
      <xdr:rowOff>96202</xdr:rowOff>
    </xdr:from>
    <xdr:to>
      <xdr:col>15</xdr:col>
      <xdr:colOff>99059</xdr:colOff>
      <xdr:row>76</xdr:row>
      <xdr:rowOff>47625</xdr:rowOff>
    </xdr:to>
    <xdr:graphicFrame macro="">
      <xdr:nvGraphicFramePr>
        <xdr:cNvPr id="3" name="Chart 2">
          <a:extLst>
            <a:ext uri="{FF2B5EF4-FFF2-40B4-BE49-F238E27FC236}">
              <a16:creationId xmlns:a16="http://schemas.microsoft.com/office/drawing/2014/main" id="{502D228B-A738-4B83-819C-6FA8EF297D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300990</xdr:colOff>
      <xdr:row>0</xdr:row>
      <xdr:rowOff>83820</xdr:rowOff>
    </xdr:from>
    <xdr:to>
      <xdr:col>9</xdr:col>
      <xdr:colOff>418465</xdr:colOff>
      <xdr:row>0</xdr:row>
      <xdr:rowOff>1761702</xdr:rowOff>
    </xdr:to>
    <xdr:grpSp>
      <xdr:nvGrpSpPr>
        <xdr:cNvPr id="101" name="Group 100">
          <a:extLst>
            <a:ext uri="{FF2B5EF4-FFF2-40B4-BE49-F238E27FC236}">
              <a16:creationId xmlns:a16="http://schemas.microsoft.com/office/drawing/2014/main" id="{53E8C156-DE82-4C5D-B54E-8CBCA05C5F6C}"/>
            </a:ext>
          </a:extLst>
        </xdr:cNvPr>
        <xdr:cNvGrpSpPr/>
      </xdr:nvGrpSpPr>
      <xdr:grpSpPr>
        <a:xfrm>
          <a:off x="300990" y="85725"/>
          <a:ext cx="16481425" cy="1677882"/>
          <a:chOff x="171450" y="91441"/>
          <a:chExt cx="16462375" cy="1683597"/>
        </a:xfrm>
      </xdr:grpSpPr>
      <xdr:pic>
        <xdr:nvPicPr>
          <xdr:cNvPr id="102" name="Picture 101">
            <a:extLst>
              <a:ext uri="{FF2B5EF4-FFF2-40B4-BE49-F238E27FC236}">
                <a16:creationId xmlns:a16="http://schemas.microsoft.com/office/drawing/2014/main" id="{BAC3D1CD-B1F6-4AE2-990B-99DE5C4DC1E0}"/>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103" name="Group 102">
            <a:extLst>
              <a:ext uri="{FF2B5EF4-FFF2-40B4-BE49-F238E27FC236}">
                <a16:creationId xmlns:a16="http://schemas.microsoft.com/office/drawing/2014/main" id="{1DFF0298-19DB-4E59-8D20-1A40598BCACF}"/>
              </a:ext>
            </a:extLst>
          </xdr:cNvPr>
          <xdr:cNvGrpSpPr/>
        </xdr:nvGrpSpPr>
        <xdr:grpSpPr>
          <a:xfrm>
            <a:off x="167640" y="95251"/>
            <a:ext cx="16462375" cy="1675977"/>
            <a:chOff x="167640" y="95251"/>
            <a:chExt cx="16462375" cy="1675977"/>
          </a:xfrm>
        </xdr:grpSpPr>
        <xdr:grpSp>
          <xdr:nvGrpSpPr>
            <xdr:cNvPr id="104" name="Group 103">
              <a:extLst>
                <a:ext uri="{FF2B5EF4-FFF2-40B4-BE49-F238E27FC236}">
                  <a16:creationId xmlns:a16="http://schemas.microsoft.com/office/drawing/2014/main" id="{80147E34-E0A5-4C71-84AA-90E39A6BFC91}"/>
                </a:ext>
              </a:extLst>
            </xdr:cNvPr>
            <xdr:cNvGrpSpPr/>
          </xdr:nvGrpSpPr>
          <xdr:grpSpPr>
            <a:xfrm>
              <a:off x="171450" y="91441"/>
              <a:ext cx="16462375" cy="1683597"/>
              <a:chOff x="171449" y="38100"/>
              <a:chExt cx="16659225" cy="1704975"/>
            </a:xfrm>
          </xdr:grpSpPr>
          <xdr:grpSp>
            <xdr:nvGrpSpPr>
              <xdr:cNvPr id="106" name="Group 105">
                <a:extLst>
                  <a:ext uri="{FF2B5EF4-FFF2-40B4-BE49-F238E27FC236}">
                    <a16:creationId xmlns:a16="http://schemas.microsoft.com/office/drawing/2014/main" id="{2B75B5C5-48F2-4E61-AC44-F994ABBB493B}"/>
                  </a:ext>
                </a:extLst>
              </xdr:cNvPr>
              <xdr:cNvGrpSpPr/>
            </xdr:nvGrpSpPr>
            <xdr:grpSpPr>
              <a:xfrm>
                <a:off x="171449" y="38100"/>
                <a:ext cx="16659225" cy="1704975"/>
                <a:chOff x="171449" y="38100"/>
                <a:chExt cx="16659225" cy="1704975"/>
              </a:xfrm>
            </xdr:grpSpPr>
            <xdr:pic>
              <xdr:nvPicPr>
                <xdr:cNvPr id="109" name="Picture 108" descr="catalisti.be">
                  <a:extLst>
                    <a:ext uri="{FF2B5EF4-FFF2-40B4-BE49-F238E27FC236}">
                      <a16:creationId xmlns:a16="http://schemas.microsoft.com/office/drawing/2014/main" id="{F0D50040-30B5-4E23-8F82-15C337997D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0" name="Rectangle 109">
                  <a:extLst>
                    <a:ext uri="{FF2B5EF4-FFF2-40B4-BE49-F238E27FC236}">
                      <a16:creationId xmlns:a16="http://schemas.microsoft.com/office/drawing/2014/main" id="{D2660652-6517-4590-B2C6-388422F7C830}"/>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111" name="Rectangle: Rounded Corners 110">
                  <a:extLst>
                    <a:ext uri="{FF2B5EF4-FFF2-40B4-BE49-F238E27FC236}">
                      <a16:creationId xmlns:a16="http://schemas.microsoft.com/office/drawing/2014/main" id="{E239CBE7-1F71-49EA-8394-54CED160AFB5}"/>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112" name="Picture 111">
                  <a:extLst>
                    <a:ext uri="{FF2B5EF4-FFF2-40B4-BE49-F238E27FC236}">
                      <a16:creationId xmlns:a16="http://schemas.microsoft.com/office/drawing/2014/main" id="{CBBD293C-950B-454F-884E-576FC32FF71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113" name="Picture 112">
                  <a:extLst>
                    <a:ext uri="{FF2B5EF4-FFF2-40B4-BE49-F238E27FC236}">
                      <a16:creationId xmlns:a16="http://schemas.microsoft.com/office/drawing/2014/main" id="{8CBA7B0D-CEED-44B7-9ECD-15D19F5181F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114" name="Picture 113">
                  <a:extLst>
                    <a:ext uri="{FF2B5EF4-FFF2-40B4-BE49-F238E27FC236}">
                      <a16:creationId xmlns:a16="http://schemas.microsoft.com/office/drawing/2014/main" id="{22ABB681-00C2-4CEB-B0E0-9E849F8D66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115" name="Picture 114">
                  <a:extLst>
                    <a:ext uri="{FF2B5EF4-FFF2-40B4-BE49-F238E27FC236}">
                      <a16:creationId xmlns:a16="http://schemas.microsoft.com/office/drawing/2014/main" id="{9E2D6379-DDC0-49A6-AA94-6366A8A26762}"/>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107" name="Picture 106">
                <a:extLst>
                  <a:ext uri="{FF2B5EF4-FFF2-40B4-BE49-F238E27FC236}">
                    <a16:creationId xmlns:a16="http://schemas.microsoft.com/office/drawing/2014/main" id="{52281671-E949-4042-9976-DD3CE8357FD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108" name="TextBox 107">
                <a:extLst>
                  <a:ext uri="{FF2B5EF4-FFF2-40B4-BE49-F238E27FC236}">
                    <a16:creationId xmlns:a16="http://schemas.microsoft.com/office/drawing/2014/main" id="{CDACA1FF-E3EA-4CDA-A5B4-3293D25D4C00}"/>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105" name="Picture 104">
              <a:extLst>
                <a:ext uri="{FF2B5EF4-FFF2-40B4-BE49-F238E27FC236}">
                  <a16:creationId xmlns:a16="http://schemas.microsoft.com/office/drawing/2014/main" id="{C4287D6D-2590-4D49-9CE5-13B9B351CD9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359410</xdr:colOff>
      <xdr:row>4</xdr:row>
      <xdr:rowOff>114300</xdr:rowOff>
    </xdr:from>
    <xdr:to>
      <xdr:col>0</xdr:col>
      <xdr:colOff>969010</xdr:colOff>
      <xdr:row>8</xdr:row>
      <xdr:rowOff>211455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363220" y="2476500"/>
          <a:ext cx="609600" cy="664845"/>
          <a:chOff x="12801600" y="129540"/>
          <a:chExt cx="609600" cy="685800"/>
        </a:xfrm>
      </xdr:grpSpPr>
      <xdr:pic macro="[0]!Previous_worksheet">
        <xdr:nvPicPr>
          <xdr:cNvPr id="15" name="Picture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6" name="TextBox 15">
            <a:extLst>
              <a:ext uri="{FF2B5EF4-FFF2-40B4-BE49-F238E27FC236}">
                <a16:creationId xmlns:a16="http://schemas.microsoft.com/office/drawing/2014/main" id="{00000000-0008-0000-0A00-000010000000}"/>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173355</xdr:colOff>
      <xdr:row>8</xdr:row>
      <xdr:rowOff>478155</xdr:rowOff>
    </xdr:from>
    <xdr:to>
      <xdr:col>0</xdr:col>
      <xdr:colOff>1883410</xdr:colOff>
      <xdr:row>10</xdr:row>
      <xdr:rowOff>94615</xdr:rowOff>
    </xdr:to>
    <xdr:sp macro="[0]!Go_to_ME" textlink="">
      <xdr:nvSpPr>
        <xdr:cNvPr id="19" name="Rounded Rectangle 7" descr="cb759233-918e-4b7f-b8f3-5ceec6f45f77">
          <a:hlinkClick xmlns:r="http://schemas.openxmlformats.org/officeDocument/2006/relationships" r:id="rId10"/>
          <a:extLst>
            <a:ext uri="{FF2B5EF4-FFF2-40B4-BE49-F238E27FC236}">
              <a16:creationId xmlns:a16="http://schemas.microsoft.com/office/drawing/2014/main" id="{00000000-0008-0000-0A00-000013000000}"/>
            </a:ext>
          </a:extLst>
        </xdr:cNvPr>
        <xdr:cNvSpPr/>
      </xdr:nvSpPr>
      <xdr:spPr>
        <a:xfrm>
          <a:off x="180975" y="3419475"/>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Technical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167640</xdr:colOff>
      <xdr:row>11</xdr:row>
      <xdr:rowOff>76200</xdr:rowOff>
    </xdr:from>
    <xdr:to>
      <xdr:col>0</xdr:col>
      <xdr:colOff>1866900</xdr:colOff>
      <xdr:row>13</xdr:row>
      <xdr:rowOff>130810</xdr:rowOff>
    </xdr:to>
    <xdr:sp macro="[0]!Go_to_Economic" textlink="">
      <xdr:nvSpPr>
        <xdr:cNvPr id="20" name="Rounded Rectangle 7" descr="9abe125f-ce3a-4713-9bd1-5136ab9d53d7">
          <a:hlinkClick xmlns:r="http://schemas.openxmlformats.org/officeDocument/2006/relationships" r:id="rId11"/>
          <a:extLst>
            <a:ext uri="{FF2B5EF4-FFF2-40B4-BE49-F238E27FC236}">
              <a16:creationId xmlns:a16="http://schemas.microsoft.com/office/drawing/2014/main" id="{00000000-0008-0000-0A00-000014000000}"/>
            </a:ext>
          </a:extLst>
        </xdr:cNvPr>
        <xdr:cNvSpPr/>
      </xdr:nvSpPr>
      <xdr:spPr>
        <a:xfrm>
          <a:off x="171450" y="386715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Economic</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167640</xdr:colOff>
      <xdr:row>14</xdr:row>
      <xdr:rowOff>92710</xdr:rowOff>
    </xdr:from>
    <xdr:to>
      <xdr:col>0</xdr:col>
      <xdr:colOff>1866900</xdr:colOff>
      <xdr:row>16</xdr:row>
      <xdr:rowOff>92710</xdr:rowOff>
    </xdr:to>
    <xdr:sp macro="[0]!Go_to_Environmental" textlink="">
      <xdr:nvSpPr>
        <xdr:cNvPr id="21" name="Rounded Rectangle 7" descr="7b3c8cef-f17d-40ec-993c-2c16c598a3fc">
          <a:hlinkClick xmlns:r="http://schemas.openxmlformats.org/officeDocument/2006/relationships" r:id="rId12"/>
          <a:extLst>
            <a:ext uri="{FF2B5EF4-FFF2-40B4-BE49-F238E27FC236}">
              <a16:creationId xmlns:a16="http://schemas.microsoft.com/office/drawing/2014/main" id="{00000000-0008-0000-0A00-000015000000}"/>
            </a:ext>
          </a:extLst>
        </xdr:cNvPr>
        <xdr:cNvSpPr/>
      </xdr:nvSpPr>
      <xdr:spPr>
        <a:xfrm>
          <a:off x="171450" y="430530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Environmental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549910</xdr:colOff>
      <xdr:row>2</xdr:row>
      <xdr:rowOff>20955</xdr:rowOff>
    </xdr:from>
    <xdr:to>
      <xdr:col>0</xdr:col>
      <xdr:colOff>1468755</xdr:colOff>
      <xdr:row>3</xdr:row>
      <xdr:rowOff>211455</xdr:rowOff>
    </xdr:to>
    <xdr:sp macro="[0]!Go_to_summary" textlink="">
      <xdr:nvSpPr>
        <xdr:cNvPr id="22" name="Rounded Rectangle 25" descr="03b4dcca-7f2f-4fb4-b9e2-6087f0ae079d">
          <a:hlinkClick xmlns:r="http://schemas.openxmlformats.org/officeDocument/2006/relationships" r:id="rId13"/>
          <a:extLst>
            <a:ext uri="{FF2B5EF4-FFF2-40B4-BE49-F238E27FC236}">
              <a16:creationId xmlns:a16="http://schemas.microsoft.com/office/drawing/2014/main" id="{00000000-0008-0000-0A00-000016000000}"/>
            </a:ext>
          </a:extLst>
        </xdr:cNvPr>
        <xdr:cNvSpPr/>
      </xdr:nvSpPr>
      <xdr:spPr>
        <a:xfrm>
          <a:off x="542925" y="2000250"/>
          <a:ext cx="922020"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Summary</a:t>
          </a:r>
        </a:p>
      </xdr:txBody>
    </xdr:sp>
    <xdr:clientData/>
  </xdr:twoCellAnchor>
  <xdr:twoCellAnchor editAs="oneCell">
    <xdr:from>
      <xdr:col>2</xdr:col>
      <xdr:colOff>485775</xdr:colOff>
      <xdr:row>3</xdr:row>
      <xdr:rowOff>19050</xdr:rowOff>
    </xdr:from>
    <xdr:to>
      <xdr:col>2</xdr:col>
      <xdr:colOff>706392</xdr:colOff>
      <xdr:row>3</xdr:row>
      <xdr:rowOff>212615</xdr:rowOff>
    </xdr:to>
    <xdr:pic macro="[0]!Pathway">
      <xdr:nvPicPr>
        <xdr:cNvPr id="23" name="Picture 22">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14"/>
        <a:stretch>
          <a:fillRect/>
        </a:stretch>
      </xdr:blipFill>
      <xdr:spPr>
        <a:xfrm>
          <a:off x="5248275" y="2133600"/>
          <a:ext cx="207282" cy="201185"/>
        </a:xfrm>
        <a:prstGeom prst="rect">
          <a:avLst/>
        </a:prstGeom>
      </xdr:spPr>
    </xdr:pic>
    <xdr:clientData/>
  </xdr:twoCellAnchor>
  <xdr:twoCellAnchor>
    <xdr:from>
      <xdr:col>3</xdr:col>
      <xdr:colOff>0</xdr:colOff>
      <xdr:row>2</xdr:row>
      <xdr:rowOff>0</xdr:rowOff>
    </xdr:from>
    <xdr:to>
      <xdr:col>3</xdr:col>
      <xdr:colOff>2076450</xdr:colOff>
      <xdr:row>3</xdr:row>
      <xdr:rowOff>171450</xdr:rowOff>
    </xdr:to>
    <xdr:sp macro="" textlink="">
      <xdr:nvSpPr>
        <xdr:cNvPr id="24" name="Rectangle: Rounded Corners 23" descr="db4baf6b-49ba-4f15-b372-b3f72a4e0747">
          <a:hlinkClick xmlns:r="http://schemas.openxmlformats.org/officeDocument/2006/relationships" r:id="rId15"/>
          <a:extLst>
            <a:ext uri="{FF2B5EF4-FFF2-40B4-BE49-F238E27FC236}">
              <a16:creationId xmlns:a16="http://schemas.microsoft.com/office/drawing/2014/main" id="{00000000-0008-0000-0A00-000018000000}"/>
            </a:ext>
          </a:extLst>
        </xdr:cNvPr>
        <xdr:cNvSpPr/>
      </xdr:nvSpPr>
      <xdr:spPr>
        <a:xfrm>
          <a:off x="6143625" y="1971675"/>
          <a:ext cx="2076450" cy="314325"/>
        </a:xfrm>
        <a:prstGeom prst="roundRect">
          <a:avLst/>
        </a:prstGeom>
        <a:solidFill>
          <a:schemeClr val="accent1">
            <a:lumMod val="60000"/>
            <a:lumOff val="40000"/>
          </a:schemeClr>
        </a:solidFill>
        <a:ln>
          <a:solidFill>
            <a:schemeClr val="accent1">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Technical </a:t>
          </a:r>
          <a:endParaRPr lang="en-BE" sz="1400" b="1"/>
        </a:p>
      </xdr:txBody>
    </xdr:sp>
    <xdr:clientData/>
  </xdr:twoCellAnchor>
  <xdr:twoCellAnchor>
    <xdr:from>
      <xdr:col>3</xdr:col>
      <xdr:colOff>2171700</xdr:colOff>
      <xdr:row>2</xdr:row>
      <xdr:rowOff>0</xdr:rowOff>
    </xdr:from>
    <xdr:to>
      <xdr:col>5</xdr:col>
      <xdr:colOff>152400</xdr:colOff>
      <xdr:row>3</xdr:row>
      <xdr:rowOff>171450</xdr:rowOff>
    </xdr:to>
    <xdr:sp macro="" textlink="">
      <xdr:nvSpPr>
        <xdr:cNvPr id="25" name="Rectangle: Rounded Corners 24" descr="79bb45a5-fde4-4fc0-a077-167a7e23b1ba">
          <a:hlinkClick xmlns:r="http://schemas.openxmlformats.org/officeDocument/2006/relationships" r:id="rId16"/>
          <a:extLst>
            <a:ext uri="{FF2B5EF4-FFF2-40B4-BE49-F238E27FC236}">
              <a16:creationId xmlns:a16="http://schemas.microsoft.com/office/drawing/2014/main" id="{00000000-0008-0000-0A00-000019000000}"/>
            </a:ext>
          </a:extLst>
        </xdr:cNvPr>
        <xdr:cNvSpPr/>
      </xdr:nvSpPr>
      <xdr:spPr>
        <a:xfrm>
          <a:off x="8315325" y="1971675"/>
          <a:ext cx="2076450" cy="314325"/>
        </a:xfrm>
        <a:prstGeom prst="roundRect">
          <a:avLst/>
        </a:prstGeom>
        <a:solidFill>
          <a:schemeClr val="accent2">
            <a:lumMod val="60000"/>
            <a:lumOff val="40000"/>
          </a:schemeClr>
        </a:solidFill>
        <a:ln>
          <a:solidFill>
            <a:schemeClr val="accent2">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Economic</a:t>
          </a:r>
          <a:endParaRPr lang="en-BE" sz="1400" b="1"/>
        </a:p>
      </xdr:txBody>
    </xdr:sp>
    <xdr:clientData/>
  </xdr:twoCellAnchor>
  <xdr:twoCellAnchor>
    <xdr:from>
      <xdr:col>5</xdr:col>
      <xdr:colOff>238125</xdr:colOff>
      <xdr:row>2</xdr:row>
      <xdr:rowOff>0</xdr:rowOff>
    </xdr:from>
    <xdr:to>
      <xdr:col>6</xdr:col>
      <xdr:colOff>933450</xdr:colOff>
      <xdr:row>3</xdr:row>
      <xdr:rowOff>171450</xdr:rowOff>
    </xdr:to>
    <xdr:sp macro="" textlink="">
      <xdr:nvSpPr>
        <xdr:cNvPr id="26" name="Rectangle: Rounded Corners 25" descr="5cc60533-6bab-421b-81f5-6875cc80e493">
          <a:hlinkClick xmlns:r="http://schemas.openxmlformats.org/officeDocument/2006/relationships" r:id="rId17"/>
          <a:extLst>
            <a:ext uri="{FF2B5EF4-FFF2-40B4-BE49-F238E27FC236}">
              <a16:creationId xmlns:a16="http://schemas.microsoft.com/office/drawing/2014/main" id="{00000000-0008-0000-0A00-00001A000000}"/>
            </a:ext>
          </a:extLst>
        </xdr:cNvPr>
        <xdr:cNvSpPr/>
      </xdr:nvSpPr>
      <xdr:spPr>
        <a:xfrm>
          <a:off x="10477500" y="1971675"/>
          <a:ext cx="2076450" cy="314325"/>
        </a:xfrm>
        <a:prstGeom prst="roundRect">
          <a:avLst/>
        </a:prstGeom>
        <a:solidFill>
          <a:srgbClr val="CFD4A0"/>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Environmental </a:t>
          </a:r>
          <a:endParaRPr lang="en-BE" sz="1400" b="1"/>
        </a:p>
      </xdr:txBody>
    </xdr:sp>
    <xdr:clientData/>
  </xdr:twoCellAnchor>
  <xdr:twoCellAnchor editAs="oneCell">
    <xdr:from>
      <xdr:col>1</xdr:col>
      <xdr:colOff>323850</xdr:colOff>
      <xdr:row>5</xdr:row>
      <xdr:rowOff>9525</xdr:rowOff>
    </xdr:from>
    <xdr:to>
      <xdr:col>1</xdr:col>
      <xdr:colOff>472671</xdr:colOff>
      <xdr:row>6</xdr:row>
      <xdr:rowOff>0</xdr:rowOff>
    </xdr:to>
    <xdr:pic macro="[0]!Pathway_PFD">
      <xdr:nvPicPr>
        <xdr:cNvPr id="28" name="Picture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4"/>
        <a:stretch>
          <a:fillRect/>
        </a:stretch>
      </xdr:blipFill>
      <xdr:spPr>
        <a:xfrm>
          <a:off x="2371725" y="2514600"/>
          <a:ext cx="137391" cy="133350"/>
        </a:xfrm>
        <a:prstGeom prst="rect">
          <a:avLst/>
        </a:prstGeom>
      </xdr:spPr>
    </xdr:pic>
    <xdr:clientData/>
  </xdr:twoCellAnchor>
  <xdr:twoCellAnchor editAs="oneCell">
    <xdr:from>
      <xdr:col>1</xdr:col>
      <xdr:colOff>695325</xdr:colOff>
      <xdr:row>21</xdr:row>
      <xdr:rowOff>0</xdr:rowOff>
    </xdr:from>
    <xdr:to>
      <xdr:col>1</xdr:col>
      <xdr:colOff>821286</xdr:colOff>
      <xdr:row>21</xdr:row>
      <xdr:rowOff>129540</xdr:rowOff>
    </xdr:to>
    <xdr:pic macro="[0]!Pathway_ME">
      <xdr:nvPicPr>
        <xdr:cNvPr id="29" name="Picture 2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14"/>
        <a:stretch>
          <a:fillRect/>
        </a:stretch>
      </xdr:blipFill>
      <xdr:spPr>
        <a:xfrm>
          <a:off x="2743200" y="6029325"/>
          <a:ext cx="137391" cy="133350"/>
        </a:xfrm>
        <a:prstGeom prst="rect">
          <a:avLst/>
        </a:prstGeom>
      </xdr:spPr>
    </xdr:pic>
    <xdr:clientData/>
  </xdr:twoCellAnchor>
  <xdr:twoCellAnchor editAs="oneCell">
    <xdr:from>
      <xdr:col>1</xdr:col>
      <xdr:colOff>685800</xdr:colOff>
      <xdr:row>79</xdr:row>
      <xdr:rowOff>9525</xdr:rowOff>
    </xdr:from>
    <xdr:to>
      <xdr:col>1</xdr:col>
      <xdr:colOff>816841</xdr:colOff>
      <xdr:row>80</xdr:row>
      <xdr:rowOff>1</xdr:rowOff>
    </xdr:to>
    <xdr:pic macro="[0]!Pathway_Economic">
      <xdr:nvPicPr>
        <xdr:cNvPr id="30" name="Picture 29">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14"/>
        <a:stretch>
          <a:fillRect/>
        </a:stretch>
      </xdr:blipFill>
      <xdr:spPr>
        <a:xfrm>
          <a:off x="2733675" y="9324975"/>
          <a:ext cx="137391" cy="133350"/>
        </a:xfrm>
        <a:prstGeom prst="rect">
          <a:avLst/>
        </a:prstGeom>
      </xdr:spPr>
    </xdr:pic>
    <xdr:clientData/>
  </xdr:twoCellAnchor>
  <xdr:twoCellAnchor editAs="oneCell">
    <xdr:from>
      <xdr:col>1</xdr:col>
      <xdr:colOff>990600</xdr:colOff>
      <xdr:row>147</xdr:row>
      <xdr:rowOff>9525</xdr:rowOff>
    </xdr:from>
    <xdr:to>
      <xdr:col>1</xdr:col>
      <xdr:colOff>1121641</xdr:colOff>
      <xdr:row>148</xdr:row>
      <xdr:rowOff>0</xdr:rowOff>
    </xdr:to>
    <xdr:pic macro="[0]!Pathway_Environment">
      <xdr:nvPicPr>
        <xdr:cNvPr id="31" name="Picture 30">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14"/>
        <a:stretch>
          <a:fillRect/>
        </a:stretch>
      </xdr:blipFill>
      <xdr:spPr>
        <a:xfrm>
          <a:off x="3038475" y="17116425"/>
          <a:ext cx="137391" cy="133350"/>
        </a:xfrm>
        <a:prstGeom prst="rect">
          <a:avLst/>
        </a:prstGeom>
      </xdr:spPr>
    </xdr:pic>
    <xdr:clientData/>
  </xdr:twoCellAnchor>
  <xdr:twoCellAnchor editAs="oneCell">
    <xdr:from>
      <xdr:col>0</xdr:col>
      <xdr:colOff>504825</xdr:colOff>
      <xdr:row>69</xdr:row>
      <xdr:rowOff>0</xdr:rowOff>
    </xdr:from>
    <xdr:to>
      <xdr:col>0</xdr:col>
      <xdr:colOff>1411605</xdr:colOff>
      <xdr:row>74</xdr:row>
      <xdr:rowOff>21589</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506730" y="12258675"/>
          <a:ext cx="904875" cy="732154"/>
          <a:chOff x="12771120" y="8145780"/>
          <a:chExt cx="906780" cy="739140"/>
        </a:xfrm>
      </xdr:grpSpPr>
      <xdr:pic macro="[0]!Top_of_page">
        <xdr:nvPicPr>
          <xdr:cNvPr id="35" name="Picture 34">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6" name="TextBox 35">
            <a:extLst>
              <a:ext uri="{FF2B5EF4-FFF2-40B4-BE49-F238E27FC236}">
                <a16:creationId xmlns:a16="http://schemas.microsoft.com/office/drawing/2014/main" id="{00000000-0008-0000-0A00-000024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542925</xdr:colOff>
      <xdr:row>135</xdr:row>
      <xdr:rowOff>66675</xdr:rowOff>
    </xdr:from>
    <xdr:to>
      <xdr:col>0</xdr:col>
      <xdr:colOff>1449705</xdr:colOff>
      <xdr:row>140</xdr:row>
      <xdr:rowOff>92710</xdr:rowOff>
    </xdr:to>
    <xdr:grpSp>
      <xdr:nvGrpSpPr>
        <xdr:cNvPr id="37" name="Group 36">
          <a:extLst>
            <a:ext uri="{FF2B5EF4-FFF2-40B4-BE49-F238E27FC236}">
              <a16:creationId xmlns:a16="http://schemas.microsoft.com/office/drawing/2014/main" id="{00000000-0008-0000-0A00-000025000000}"/>
            </a:ext>
          </a:extLst>
        </xdr:cNvPr>
        <xdr:cNvGrpSpPr/>
      </xdr:nvGrpSpPr>
      <xdr:grpSpPr>
        <a:xfrm>
          <a:off x="544830" y="21924645"/>
          <a:ext cx="904875" cy="746125"/>
          <a:chOff x="12771120" y="8145780"/>
          <a:chExt cx="906780" cy="739140"/>
        </a:xfrm>
      </xdr:grpSpPr>
      <xdr:pic macro="[0]!Top_of_page">
        <xdr:nvPicPr>
          <xdr:cNvPr id="38" name="Picture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9" name="TextBox 38">
            <a:extLst>
              <a:ext uri="{FF2B5EF4-FFF2-40B4-BE49-F238E27FC236}">
                <a16:creationId xmlns:a16="http://schemas.microsoft.com/office/drawing/2014/main" id="{00000000-0008-0000-0A00-000027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504825</xdr:colOff>
      <xdr:row>182</xdr:row>
      <xdr:rowOff>133350</xdr:rowOff>
    </xdr:from>
    <xdr:to>
      <xdr:col>0</xdr:col>
      <xdr:colOff>1411605</xdr:colOff>
      <xdr:row>187</xdr:row>
      <xdr:rowOff>132715</xdr:rowOff>
    </xdr:to>
    <xdr:grpSp>
      <xdr:nvGrpSpPr>
        <xdr:cNvPr id="40" name="Group 39">
          <a:extLst>
            <a:ext uri="{FF2B5EF4-FFF2-40B4-BE49-F238E27FC236}">
              <a16:creationId xmlns:a16="http://schemas.microsoft.com/office/drawing/2014/main" id="{00000000-0008-0000-0A00-000028000000}"/>
            </a:ext>
          </a:extLst>
        </xdr:cNvPr>
        <xdr:cNvGrpSpPr/>
      </xdr:nvGrpSpPr>
      <xdr:grpSpPr>
        <a:xfrm>
          <a:off x="506730" y="28914090"/>
          <a:ext cx="904875" cy="721360"/>
          <a:chOff x="12771120" y="8145780"/>
          <a:chExt cx="906780" cy="739140"/>
        </a:xfrm>
      </xdr:grpSpPr>
      <xdr:pic macro="[0]!Top_of_page">
        <xdr:nvPicPr>
          <xdr:cNvPr id="41" name="Picture 40">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42" name="TextBox 41">
            <a:extLst>
              <a:ext uri="{FF2B5EF4-FFF2-40B4-BE49-F238E27FC236}">
                <a16:creationId xmlns:a16="http://schemas.microsoft.com/office/drawing/2014/main" id="{00000000-0008-0000-0A00-00002A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1457325</xdr:colOff>
      <xdr:row>184</xdr:row>
      <xdr:rowOff>0</xdr:rowOff>
    </xdr:from>
    <xdr:to>
      <xdr:col>1</xdr:col>
      <xdr:colOff>1583829</xdr:colOff>
      <xdr:row>184</xdr:row>
      <xdr:rowOff>130314</xdr:rowOff>
    </xdr:to>
    <xdr:pic macro="[0]!Contribution_analysis">
      <xdr:nvPicPr>
        <xdr:cNvPr id="56" name="Picture 55">
          <a:extLst>
            <a:ext uri="{FF2B5EF4-FFF2-40B4-BE49-F238E27FC236}">
              <a16:creationId xmlns:a16="http://schemas.microsoft.com/office/drawing/2014/main" id="{00000000-0008-0000-0A00-000038000000}"/>
            </a:ext>
          </a:extLst>
        </xdr:cNvPr>
        <xdr:cNvPicPr>
          <a:picLocks noChangeAspect="1"/>
        </xdr:cNvPicPr>
      </xdr:nvPicPr>
      <xdr:blipFill>
        <a:blip xmlns:r="http://schemas.openxmlformats.org/officeDocument/2006/relationships" r:embed="rId18"/>
        <a:stretch>
          <a:fillRect/>
        </a:stretch>
      </xdr:blipFill>
      <xdr:spPr>
        <a:xfrm>
          <a:off x="3505200" y="28441650"/>
          <a:ext cx="134124" cy="134124"/>
        </a:xfrm>
        <a:prstGeom prst="rect">
          <a:avLst/>
        </a:prstGeom>
      </xdr:spPr>
    </xdr:pic>
    <xdr:clientData/>
  </xdr:twoCellAnchor>
  <xdr:twoCellAnchor>
    <xdr:from>
      <xdr:col>6</xdr:col>
      <xdr:colOff>1009650</xdr:colOff>
      <xdr:row>2</xdr:row>
      <xdr:rowOff>0</xdr:rowOff>
    </xdr:from>
    <xdr:to>
      <xdr:col>8</xdr:col>
      <xdr:colOff>323850</xdr:colOff>
      <xdr:row>3</xdr:row>
      <xdr:rowOff>171450</xdr:rowOff>
    </xdr:to>
    <xdr:sp macro="" textlink="">
      <xdr:nvSpPr>
        <xdr:cNvPr id="57" name="Rectangle: Rounded Corners 56" descr="462961c2-a7f5-47c8-93ea-8d510cf8f802">
          <a:hlinkClick xmlns:r="http://schemas.openxmlformats.org/officeDocument/2006/relationships" r:id="rId19"/>
          <a:extLst>
            <a:ext uri="{FF2B5EF4-FFF2-40B4-BE49-F238E27FC236}">
              <a16:creationId xmlns:a16="http://schemas.microsoft.com/office/drawing/2014/main" id="{00000000-0008-0000-0A00-000039000000}"/>
            </a:ext>
          </a:extLst>
        </xdr:cNvPr>
        <xdr:cNvSpPr/>
      </xdr:nvSpPr>
      <xdr:spPr>
        <a:xfrm>
          <a:off x="12630150" y="1971675"/>
          <a:ext cx="2076450" cy="314325"/>
        </a:xfrm>
        <a:prstGeom prst="roundRect">
          <a:avLst/>
        </a:prstGeom>
        <a:solidFill>
          <a:schemeClr val="bg1">
            <a:lumMod val="85000"/>
          </a:schemeClr>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Sensitivity </a:t>
          </a:r>
          <a:endParaRPr lang="en-BE" sz="1400" b="1"/>
        </a:p>
      </xdr:txBody>
    </xdr:sp>
    <xdr:clientData/>
  </xdr:twoCellAnchor>
  <xdr:twoCellAnchor editAs="absolute">
    <xdr:from>
      <xdr:col>0</xdr:col>
      <xdr:colOff>929640</xdr:colOff>
      <xdr:row>4</xdr:row>
      <xdr:rowOff>129540</xdr:rowOff>
    </xdr:from>
    <xdr:to>
      <xdr:col>0</xdr:col>
      <xdr:colOff>1539240</xdr:colOff>
      <xdr:row>8</xdr:row>
      <xdr:rowOff>211455</xdr:rowOff>
    </xdr:to>
    <xdr:grpSp>
      <xdr:nvGrpSpPr>
        <xdr:cNvPr id="72" name="Group 71">
          <a:extLst>
            <a:ext uri="{FF2B5EF4-FFF2-40B4-BE49-F238E27FC236}">
              <a16:creationId xmlns:a16="http://schemas.microsoft.com/office/drawing/2014/main" id="{00000000-0008-0000-0A00-000048000000}"/>
            </a:ext>
          </a:extLst>
        </xdr:cNvPr>
        <xdr:cNvGrpSpPr/>
      </xdr:nvGrpSpPr>
      <xdr:grpSpPr>
        <a:xfrm>
          <a:off x="933450" y="2495550"/>
          <a:ext cx="609600" cy="645795"/>
          <a:chOff x="13464540" y="68580"/>
          <a:chExt cx="609600" cy="662940"/>
        </a:xfrm>
      </xdr:grpSpPr>
      <xdr:pic macro="[0]!Next_worksheet">
        <xdr:nvPicPr>
          <xdr:cNvPr id="73" name="Picture 72">
            <a:extLst>
              <a:ext uri="{FF2B5EF4-FFF2-40B4-BE49-F238E27FC236}">
                <a16:creationId xmlns:a16="http://schemas.microsoft.com/office/drawing/2014/main" id="{00000000-0008-0000-0A00-00004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74" name="TextBox 73">
            <a:extLst>
              <a:ext uri="{FF2B5EF4-FFF2-40B4-BE49-F238E27FC236}">
                <a16:creationId xmlns:a16="http://schemas.microsoft.com/office/drawing/2014/main" id="{00000000-0008-0000-0A00-00004A000000}"/>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oneCell">
    <xdr:from>
      <xdr:col>0</xdr:col>
      <xdr:colOff>552450</xdr:colOff>
      <xdr:row>240</xdr:row>
      <xdr:rowOff>0</xdr:rowOff>
    </xdr:from>
    <xdr:to>
      <xdr:col>0</xdr:col>
      <xdr:colOff>1463040</xdr:colOff>
      <xdr:row>245</xdr:row>
      <xdr:rowOff>16510</xdr:rowOff>
    </xdr:to>
    <xdr:grpSp>
      <xdr:nvGrpSpPr>
        <xdr:cNvPr id="46" name="Group 45">
          <a:extLst>
            <a:ext uri="{FF2B5EF4-FFF2-40B4-BE49-F238E27FC236}">
              <a16:creationId xmlns:a16="http://schemas.microsoft.com/office/drawing/2014/main" id="{00000000-0008-0000-0A00-00002E000000}"/>
            </a:ext>
          </a:extLst>
        </xdr:cNvPr>
        <xdr:cNvGrpSpPr/>
      </xdr:nvGrpSpPr>
      <xdr:grpSpPr>
        <a:xfrm>
          <a:off x="548640" y="37128450"/>
          <a:ext cx="918210" cy="734695"/>
          <a:chOff x="12771120" y="8145780"/>
          <a:chExt cx="906780" cy="739140"/>
        </a:xfrm>
      </xdr:grpSpPr>
      <xdr:pic macro="[0]!Top_of_page">
        <xdr:nvPicPr>
          <xdr:cNvPr id="47" name="Picture 46">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48" name="TextBox 47">
            <a:extLst>
              <a:ext uri="{FF2B5EF4-FFF2-40B4-BE49-F238E27FC236}">
                <a16:creationId xmlns:a16="http://schemas.microsoft.com/office/drawing/2014/main" id="{00000000-0008-0000-0A00-000030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552450</xdr:colOff>
      <xdr:row>258</xdr:row>
      <xdr:rowOff>85725</xdr:rowOff>
    </xdr:from>
    <xdr:to>
      <xdr:col>0</xdr:col>
      <xdr:colOff>1463040</xdr:colOff>
      <xdr:row>263</xdr:row>
      <xdr:rowOff>97155</xdr:rowOff>
    </xdr:to>
    <xdr:grpSp>
      <xdr:nvGrpSpPr>
        <xdr:cNvPr id="49" name="Group 48">
          <a:extLst>
            <a:ext uri="{FF2B5EF4-FFF2-40B4-BE49-F238E27FC236}">
              <a16:creationId xmlns:a16="http://schemas.microsoft.com/office/drawing/2014/main" id="{00000000-0008-0000-0A00-000031000000}"/>
            </a:ext>
          </a:extLst>
        </xdr:cNvPr>
        <xdr:cNvGrpSpPr/>
      </xdr:nvGrpSpPr>
      <xdr:grpSpPr>
        <a:xfrm>
          <a:off x="548640" y="39787830"/>
          <a:ext cx="918210" cy="720090"/>
          <a:chOff x="12771120" y="8145780"/>
          <a:chExt cx="906780" cy="739140"/>
        </a:xfrm>
      </xdr:grpSpPr>
      <xdr:pic macro="[0]!Top_of_page">
        <xdr:nvPicPr>
          <xdr:cNvPr id="50" name="Picture 4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51" name="TextBox 50">
            <a:extLst>
              <a:ext uri="{FF2B5EF4-FFF2-40B4-BE49-F238E27FC236}">
                <a16:creationId xmlns:a16="http://schemas.microsoft.com/office/drawing/2014/main" id="{00000000-0008-0000-0A00-00003300000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2247900</xdr:colOff>
      <xdr:row>232</xdr:row>
      <xdr:rowOff>0</xdr:rowOff>
    </xdr:from>
    <xdr:to>
      <xdr:col>1</xdr:col>
      <xdr:colOff>2378214</xdr:colOff>
      <xdr:row>232</xdr:row>
      <xdr:rowOff>130314</xdr:rowOff>
    </xdr:to>
    <xdr:pic macro="[0]!OATsensitivity_analysis">
      <xdr:nvPicPr>
        <xdr:cNvPr id="55" name="Picture 54">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18"/>
        <a:stretch>
          <a:fillRect/>
        </a:stretch>
      </xdr:blipFill>
      <xdr:spPr>
        <a:xfrm>
          <a:off x="4295775" y="30013275"/>
          <a:ext cx="134124" cy="134124"/>
        </a:xfrm>
        <a:prstGeom prst="rect">
          <a:avLst/>
        </a:prstGeom>
      </xdr:spPr>
    </xdr:pic>
    <xdr:clientData/>
  </xdr:twoCellAnchor>
  <xdr:twoCellAnchor editAs="oneCell">
    <xdr:from>
      <xdr:col>2</xdr:col>
      <xdr:colOff>1257300</xdr:colOff>
      <xdr:row>256</xdr:row>
      <xdr:rowOff>0</xdr:rowOff>
    </xdr:from>
    <xdr:to>
      <xdr:col>2</xdr:col>
      <xdr:colOff>1391944</xdr:colOff>
      <xdr:row>256</xdr:row>
      <xdr:rowOff>135848</xdr:rowOff>
    </xdr:to>
    <xdr:pic macro="[0]!scenario_analysis">
      <xdr:nvPicPr>
        <xdr:cNvPr id="76" name="Picture 75">
          <a:extLst>
            <a:ext uri="{FF2B5EF4-FFF2-40B4-BE49-F238E27FC236}">
              <a16:creationId xmlns:a16="http://schemas.microsoft.com/office/drawing/2014/main" id="{00000000-0008-0000-0A00-00004C000000}"/>
            </a:ext>
          </a:extLst>
        </xdr:cNvPr>
        <xdr:cNvPicPr>
          <a:picLocks noChangeAspect="1"/>
        </xdr:cNvPicPr>
      </xdr:nvPicPr>
      <xdr:blipFill>
        <a:blip xmlns:r="http://schemas.openxmlformats.org/officeDocument/2006/relationships" r:embed="rId18"/>
        <a:stretch>
          <a:fillRect/>
        </a:stretch>
      </xdr:blipFill>
      <xdr:spPr>
        <a:xfrm>
          <a:off x="6019800" y="31718250"/>
          <a:ext cx="134124" cy="134124"/>
        </a:xfrm>
        <a:prstGeom prst="rect">
          <a:avLst/>
        </a:prstGeom>
      </xdr:spPr>
    </xdr:pic>
    <xdr:clientData/>
  </xdr:twoCellAnchor>
  <xdr:twoCellAnchor>
    <xdr:from>
      <xdr:col>2</xdr:col>
      <xdr:colOff>495300</xdr:colOff>
      <xdr:row>9</xdr:row>
      <xdr:rowOff>57150</xdr:rowOff>
    </xdr:from>
    <xdr:to>
      <xdr:col>3</xdr:col>
      <xdr:colOff>942975</xdr:colOff>
      <xdr:row>16</xdr:row>
      <xdr:rowOff>28575</xdr:rowOff>
    </xdr:to>
    <xdr:sp macro="" textlink="$N$10">
      <xdr:nvSpPr>
        <xdr:cNvPr id="2" name="Rectangle: Rounded Corners 1" descr="49ba1274-98d9-4a91-b0d2-3a1a8768a01d">
          <a:extLst>
            <a:ext uri="{FF2B5EF4-FFF2-40B4-BE49-F238E27FC236}">
              <a16:creationId xmlns:a16="http://schemas.microsoft.com/office/drawing/2014/main" id="{00000000-0008-0000-0A00-000002000000}"/>
            </a:ext>
          </a:extLst>
        </xdr:cNvPr>
        <xdr:cNvSpPr/>
      </xdr:nvSpPr>
      <xdr:spPr>
        <a:xfrm>
          <a:off x="5257800" y="3562350"/>
          <a:ext cx="1828800" cy="10191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EE5EED7-D596-403F-BB4A-72741CB3E785}" type="TxLink">
            <a:rPr lang="en-US" sz="900" b="0" i="0" u="none" strike="noStrike">
              <a:solidFill>
                <a:srgbClr val="000000"/>
              </a:solidFill>
              <a:latin typeface="Verdana"/>
              <a:ea typeface="Verdana"/>
            </a:rPr>
            <a:pPr algn="ctr"/>
            <a:t>PEM Electrolyser
Installed power: 7 MW
Pressure: 30 bar</a:t>
          </a:fld>
          <a:endParaRPr lang="en-BE" sz="1100">
            <a:solidFill>
              <a:schemeClr val="tx1"/>
            </a:solidFill>
          </a:endParaRPr>
        </a:p>
      </xdr:txBody>
    </xdr:sp>
    <xdr:clientData/>
  </xdr:twoCellAnchor>
  <xdr:twoCellAnchor>
    <xdr:from>
      <xdr:col>4</xdr:col>
      <xdr:colOff>219075</xdr:colOff>
      <xdr:row>8</xdr:row>
      <xdr:rowOff>457200</xdr:rowOff>
    </xdr:from>
    <xdr:to>
      <xdr:col>5</xdr:col>
      <xdr:colOff>666750</xdr:colOff>
      <xdr:row>15</xdr:row>
      <xdr:rowOff>66675</xdr:rowOff>
    </xdr:to>
    <xdr:sp macro="" textlink="$N$17">
      <xdr:nvSpPr>
        <xdr:cNvPr id="54" name="Rectangle: Rounded Corners 53" descr="901e892a-5123-4fe4-a107-a08252e5313e">
          <a:extLst>
            <a:ext uri="{FF2B5EF4-FFF2-40B4-BE49-F238E27FC236}">
              <a16:creationId xmlns:a16="http://schemas.microsoft.com/office/drawing/2014/main" id="{00000000-0008-0000-0A00-000036000000}"/>
            </a:ext>
          </a:extLst>
        </xdr:cNvPr>
        <xdr:cNvSpPr/>
      </xdr:nvSpPr>
      <xdr:spPr>
        <a:xfrm>
          <a:off x="9077325" y="3390900"/>
          <a:ext cx="1828800" cy="10858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FB3FB-637A-42CC-88A8-95B15F96A0DE}" type="TxLink">
            <a:rPr lang="en-US" sz="900" b="0" i="0" u="none" strike="noStrike">
              <a:solidFill>
                <a:srgbClr val="000000"/>
              </a:solidFill>
              <a:latin typeface="Verdana"/>
              <a:ea typeface="Verdana"/>
            </a:rPr>
            <a:pPr algn="ctr"/>
            <a:t>H2 compressor
Pressure: 200 bar</a:t>
          </a:fld>
          <a:endParaRPr lang="en-BE" sz="1100">
            <a:solidFill>
              <a:schemeClr val="tx1"/>
            </a:solidFill>
          </a:endParaRPr>
        </a:p>
      </xdr:txBody>
    </xdr:sp>
    <xdr:clientData/>
  </xdr:twoCellAnchor>
  <xdr:twoCellAnchor>
    <xdr:from>
      <xdr:col>6</xdr:col>
      <xdr:colOff>57149</xdr:colOff>
      <xdr:row>8</xdr:row>
      <xdr:rowOff>533400</xdr:rowOff>
    </xdr:from>
    <xdr:to>
      <xdr:col>7</xdr:col>
      <xdr:colOff>704849</xdr:colOff>
      <xdr:row>14</xdr:row>
      <xdr:rowOff>180975</xdr:rowOff>
    </xdr:to>
    <xdr:sp macro="" textlink="$N$20">
      <xdr:nvSpPr>
        <xdr:cNvPr id="75" name="Rectangle: Rounded Corners 74" descr="7d883d3e-8fc5-4d58-9148-4546a97f8648">
          <a:extLst>
            <a:ext uri="{FF2B5EF4-FFF2-40B4-BE49-F238E27FC236}">
              <a16:creationId xmlns:a16="http://schemas.microsoft.com/office/drawing/2014/main" id="{00000000-0008-0000-0A00-00004B000000}"/>
            </a:ext>
          </a:extLst>
        </xdr:cNvPr>
        <xdr:cNvSpPr/>
      </xdr:nvSpPr>
      <xdr:spPr>
        <a:xfrm>
          <a:off x="11677649" y="3467100"/>
          <a:ext cx="2028825" cy="9334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FDBE5CA-6A5B-4817-972C-1B6C04ABA267}" type="TxLink">
            <a:rPr lang="en-US" sz="900" b="0" i="0" u="none" strike="noStrike">
              <a:solidFill>
                <a:srgbClr val="000000"/>
              </a:solidFill>
              <a:latin typeface="Verdana"/>
              <a:ea typeface="Verdana"/>
            </a:rPr>
            <a:pPr algn="ctr"/>
            <a:t>H2 storage
Storage size: 24 
Storage capacity: 2997 kg</a:t>
          </a:fld>
          <a:endParaRPr lang="en-BE" sz="1100">
            <a:solidFill>
              <a:schemeClr val="tx1"/>
            </a:solidFill>
          </a:endParaRPr>
        </a:p>
      </xdr:txBody>
    </xdr:sp>
    <xdr:clientData/>
  </xdr:twoCellAnchor>
  <xdr:twoCellAnchor>
    <xdr:from>
      <xdr:col>3</xdr:col>
      <xdr:colOff>952500</xdr:colOff>
      <xdr:row>11</xdr:row>
      <xdr:rowOff>4763</xdr:rowOff>
    </xdr:from>
    <xdr:to>
      <xdr:col>4</xdr:col>
      <xdr:colOff>219075</xdr:colOff>
      <xdr:row>11</xdr:row>
      <xdr:rowOff>4763</xdr:rowOff>
    </xdr:to>
    <xdr:cxnSp macro="">
      <xdr:nvCxnSpPr>
        <xdr:cNvPr id="4" name="Straight Arrow Connector 3" descr="0a1b595f-e138-47cd-b088-72f1eaf30c5a">
          <a:extLst>
            <a:ext uri="{FF2B5EF4-FFF2-40B4-BE49-F238E27FC236}">
              <a16:creationId xmlns:a16="http://schemas.microsoft.com/office/drawing/2014/main" id="{00000000-0008-0000-0A00-000004000000}"/>
            </a:ext>
          </a:extLst>
        </xdr:cNvPr>
        <xdr:cNvCxnSpPr/>
      </xdr:nvCxnSpPr>
      <xdr:spPr>
        <a:xfrm>
          <a:off x="7096125" y="3795713"/>
          <a:ext cx="1981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666750</xdr:colOff>
      <xdr:row>12</xdr:row>
      <xdr:rowOff>0</xdr:rowOff>
    </xdr:from>
    <xdr:to>
      <xdr:col>6</xdr:col>
      <xdr:colOff>57149</xdr:colOff>
      <xdr:row>12</xdr:row>
      <xdr:rowOff>0</xdr:rowOff>
    </xdr:to>
    <xdr:cxnSp macro="">
      <xdr:nvCxnSpPr>
        <xdr:cNvPr id="77" name="Straight Arrow Connector 76" descr="a74dfc4a-30cc-472f-a93e-b8c1a22b0e06">
          <a:extLst>
            <a:ext uri="{FF2B5EF4-FFF2-40B4-BE49-F238E27FC236}">
              <a16:creationId xmlns:a16="http://schemas.microsoft.com/office/drawing/2014/main" id="{00000000-0008-0000-0A00-00004D000000}"/>
            </a:ext>
          </a:extLst>
        </xdr:cNvPr>
        <xdr:cNvCxnSpPr>
          <a:stCxn id="54" idx="3"/>
          <a:endCxn id="75" idx="1"/>
        </xdr:cNvCxnSpPr>
      </xdr:nvCxnSpPr>
      <xdr:spPr>
        <a:xfrm>
          <a:off x="10906125" y="3933825"/>
          <a:ext cx="7715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2076450</xdr:colOff>
      <xdr:row>11</xdr:row>
      <xdr:rowOff>104775</xdr:rowOff>
    </xdr:from>
    <xdr:to>
      <xdr:col>2</xdr:col>
      <xdr:colOff>485775</xdr:colOff>
      <xdr:row>11</xdr:row>
      <xdr:rowOff>114300</xdr:rowOff>
    </xdr:to>
    <xdr:cxnSp macro="">
      <xdr:nvCxnSpPr>
        <xdr:cNvPr id="78" name="Straight Arrow Connector 77" descr="d5d64618-d424-4e5b-a943-e01d69a1fa13">
          <a:extLst>
            <a:ext uri="{FF2B5EF4-FFF2-40B4-BE49-F238E27FC236}">
              <a16:creationId xmlns:a16="http://schemas.microsoft.com/office/drawing/2014/main" id="{00000000-0008-0000-0A00-00004E000000}"/>
            </a:ext>
          </a:extLst>
        </xdr:cNvPr>
        <xdr:cNvCxnSpPr/>
      </xdr:nvCxnSpPr>
      <xdr:spPr>
        <a:xfrm>
          <a:off x="4124325" y="3895725"/>
          <a:ext cx="11239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2076450</xdr:colOff>
      <xdr:row>14</xdr:row>
      <xdr:rowOff>9525</xdr:rowOff>
    </xdr:from>
    <xdr:to>
      <xdr:col>2</xdr:col>
      <xdr:colOff>485775</xdr:colOff>
      <xdr:row>14</xdr:row>
      <xdr:rowOff>19050</xdr:rowOff>
    </xdr:to>
    <xdr:cxnSp macro="">
      <xdr:nvCxnSpPr>
        <xdr:cNvPr id="79" name="Straight Arrow Connector 78" descr="0366f934-fc66-41b3-9e5f-8c326727d19e">
          <a:extLst>
            <a:ext uri="{FF2B5EF4-FFF2-40B4-BE49-F238E27FC236}">
              <a16:creationId xmlns:a16="http://schemas.microsoft.com/office/drawing/2014/main" id="{00000000-0008-0000-0A00-00004F000000}"/>
            </a:ext>
          </a:extLst>
        </xdr:cNvPr>
        <xdr:cNvCxnSpPr/>
      </xdr:nvCxnSpPr>
      <xdr:spPr>
        <a:xfrm>
          <a:off x="4124325" y="4229100"/>
          <a:ext cx="11239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857250</xdr:colOff>
      <xdr:row>8</xdr:row>
      <xdr:rowOff>523875</xdr:rowOff>
    </xdr:from>
    <xdr:to>
      <xdr:col>2</xdr:col>
      <xdr:colOff>85725</xdr:colOff>
      <xdr:row>11</xdr:row>
      <xdr:rowOff>57150</xdr:rowOff>
    </xdr:to>
    <xdr:sp macro="" textlink="$N$11">
      <xdr:nvSpPr>
        <xdr:cNvPr id="7" name="Rectangle 6" descr="1345391e-2296-4e03-88ce-f2bd62ecf9fc">
          <a:extLst>
            <a:ext uri="{FF2B5EF4-FFF2-40B4-BE49-F238E27FC236}">
              <a16:creationId xmlns:a16="http://schemas.microsoft.com/office/drawing/2014/main" id="{00000000-0008-0000-0A00-000007000000}"/>
            </a:ext>
          </a:extLst>
        </xdr:cNvPr>
        <xdr:cNvSpPr/>
      </xdr:nvSpPr>
      <xdr:spPr>
        <a:xfrm>
          <a:off x="2905125" y="3457575"/>
          <a:ext cx="1943100"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464891C2-C014-4A8E-BA68-96B8CC8B42AC}" type="TxLink">
            <a:rPr lang="en-US" sz="900" b="0" i="0" u="none" strike="noStrike">
              <a:solidFill>
                <a:srgbClr val="000000"/>
              </a:solidFill>
              <a:latin typeface="Verdana"/>
              <a:ea typeface="Verdana"/>
            </a:rPr>
            <a:pPr algn="l"/>
            <a:t>Electricity: 55000 MWh/yr</a:t>
          </a:fld>
          <a:endParaRPr lang="en-BE" sz="1100">
            <a:solidFill>
              <a:schemeClr val="tx1"/>
            </a:solidFill>
          </a:endParaRPr>
        </a:p>
      </xdr:txBody>
    </xdr:sp>
    <xdr:clientData/>
  </xdr:twoCellAnchor>
  <xdr:twoCellAnchor>
    <xdr:from>
      <xdr:col>4</xdr:col>
      <xdr:colOff>1133475</xdr:colOff>
      <xdr:row>8</xdr:row>
      <xdr:rowOff>161925</xdr:rowOff>
    </xdr:from>
    <xdr:to>
      <xdr:col>4</xdr:col>
      <xdr:colOff>1133475</xdr:colOff>
      <xdr:row>8</xdr:row>
      <xdr:rowOff>457200</xdr:rowOff>
    </xdr:to>
    <xdr:cxnSp macro="">
      <xdr:nvCxnSpPr>
        <xdr:cNvPr id="80" name="Straight Arrow Connector 79" descr="82e4dd2c-e29a-4c56-a163-f2e23da577fb">
          <a:extLst>
            <a:ext uri="{FF2B5EF4-FFF2-40B4-BE49-F238E27FC236}">
              <a16:creationId xmlns:a16="http://schemas.microsoft.com/office/drawing/2014/main" id="{00000000-0008-0000-0A00-000050000000}"/>
            </a:ext>
          </a:extLst>
        </xdr:cNvPr>
        <xdr:cNvCxnSpPr>
          <a:stCxn id="82" idx="2"/>
          <a:endCxn id="54" idx="0"/>
        </xdr:cNvCxnSpPr>
      </xdr:nvCxnSpPr>
      <xdr:spPr>
        <a:xfrm>
          <a:off x="9991725" y="3095625"/>
          <a:ext cx="0" cy="295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838200</xdr:colOff>
      <xdr:row>14</xdr:row>
      <xdr:rowOff>66675</xdr:rowOff>
    </xdr:from>
    <xdr:to>
      <xdr:col>2</xdr:col>
      <xdr:colOff>66675</xdr:colOff>
      <xdr:row>16</xdr:row>
      <xdr:rowOff>123825</xdr:rowOff>
    </xdr:to>
    <xdr:sp macro="" textlink="$N$12">
      <xdr:nvSpPr>
        <xdr:cNvPr id="81" name="Rectangle 80" descr="4202c531-ddc2-48b4-b6f2-4538a80ca6cd">
          <a:extLst>
            <a:ext uri="{FF2B5EF4-FFF2-40B4-BE49-F238E27FC236}">
              <a16:creationId xmlns:a16="http://schemas.microsoft.com/office/drawing/2014/main" id="{00000000-0008-0000-0A00-000051000000}"/>
            </a:ext>
          </a:extLst>
        </xdr:cNvPr>
        <xdr:cNvSpPr/>
      </xdr:nvSpPr>
      <xdr:spPr>
        <a:xfrm>
          <a:off x="2886075" y="4286250"/>
          <a:ext cx="1943100"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A29FF0AE-41AC-43D0-BB5E-408B2917D514}" type="TxLink">
            <a:rPr lang="en-US" sz="900" b="0" i="0" u="none" strike="noStrike">
              <a:solidFill>
                <a:srgbClr val="000000"/>
              </a:solidFill>
              <a:latin typeface="Verdana"/>
              <a:ea typeface="Verdana"/>
            </a:rPr>
            <a:pPr algn="l"/>
            <a:t>Water: 16837 m³/yr</a:t>
          </a:fld>
          <a:endParaRPr lang="en-BE" sz="1100">
            <a:solidFill>
              <a:schemeClr val="tx1"/>
            </a:solidFill>
          </a:endParaRPr>
        </a:p>
      </xdr:txBody>
    </xdr:sp>
    <xdr:clientData/>
  </xdr:twoCellAnchor>
  <xdr:twoCellAnchor>
    <xdr:from>
      <xdr:col>4</xdr:col>
      <xdr:colOff>161925</xdr:colOff>
      <xdr:row>6</xdr:row>
      <xdr:rowOff>57150</xdr:rowOff>
    </xdr:from>
    <xdr:to>
      <xdr:col>5</xdr:col>
      <xdr:colOff>723900</xdr:colOff>
      <xdr:row>8</xdr:row>
      <xdr:rowOff>161925</xdr:rowOff>
    </xdr:to>
    <xdr:sp macro="" textlink="$N$18">
      <xdr:nvSpPr>
        <xdr:cNvPr id="82" name="Rectangle 81" descr="77ef6598-61ec-412a-ad80-bc5b2dd75f8a">
          <a:extLst>
            <a:ext uri="{FF2B5EF4-FFF2-40B4-BE49-F238E27FC236}">
              <a16:creationId xmlns:a16="http://schemas.microsoft.com/office/drawing/2014/main" id="{00000000-0008-0000-0A00-000052000000}"/>
            </a:ext>
          </a:extLst>
        </xdr:cNvPr>
        <xdr:cNvSpPr/>
      </xdr:nvSpPr>
      <xdr:spPr>
        <a:xfrm>
          <a:off x="9020175" y="2705100"/>
          <a:ext cx="1943100"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C4B2D73-BCDB-4037-BFC4-E38D5CC8265A}" type="TxLink">
            <a:rPr lang="en-US" sz="900" b="0" i="0" u="none" strike="noStrike">
              <a:solidFill>
                <a:srgbClr val="000000"/>
              </a:solidFill>
              <a:latin typeface="Verdana"/>
              <a:ea typeface="Verdana"/>
            </a:rPr>
            <a:pPr algn="ctr"/>
            <a:t>Electricity: 3996 MWh/yr</a:t>
          </a:fld>
          <a:endParaRPr lang="en-BE" sz="1100">
            <a:solidFill>
              <a:schemeClr val="tx1"/>
            </a:solidFill>
          </a:endParaRPr>
        </a:p>
      </xdr:txBody>
    </xdr:sp>
    <xdr:clientData/>
  </xdr:twoCellAnchor>
  <xdr:twoCellAnchor>
    <xdr:from>
      <xdr:col>3</xdr:col>
      <xdr:colOff>28575</xdr:colOff>
      <xdr:row>16</xdr:row>
      <xdr:rowOff>28575</xdr:rowOff>
    </xdr:from>
    <xdr:to>
      <xdr:col>3</xdr:col>
      <xdr:colOff>28575</xdr:colOff>
      <xdr:row>17</xdr:row>
      <xdr:rowOff>95250</xdr:rowOff>
    </xdr:to>
    <xdr:cxnSp macro="">
      <xdr:nvCxnSpPr>
        <xdr:cNvPr id="83" name="Straight Arrow Connector 82" descr="0995944d-9629-46cc-9ab9-286b6e151422">
          <a:extLst>
            <a:ext uri="{FF2B5EF4-FFF2-40B4-BE49-F238E27FC236}">
              <a16:creationId xmlns:a16="http://schemas.microsoft.com/office/drawing/2014/main" id="{00000000-0008-0000-0A00-000053000000}"/>
            </a:ext>
          </a:extLst>
        </xdr:cNvPr>
        <xdr:cNvCxnSpPr>
          <a:stCxn id="2" idx="2"/>
          <a:endCxn id="84" idx="0"/>
        </xdr:cNvCxnSpPr>
      </xdr:nvCxnSpPr>
      <xdr:spPr>
        <a:xfrm>
          <a:off x="6172200" y="4581525"/>
          <a:ext cx="0" cy="25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438150</xdr:colOff>
      <xdr:row>17</xdr:row>
      <xdr:rowOff>95250</xdr:rowOff>
    </xdr:from>
    <xdr:to>
      <xdr:col>3</xdr:col>
      <xdr:colOff>1000125</xdr:colOff>
      <xdr:row>20</xdr:row>
      <xdr:rowOff>57150</xdr:rowOff>
    </xdr:to>
    <xdr:sp macro="" textlink="$N$15">
      <xdr:nvSpPr>
        <xdr:cNvPr id="84" name="Rectangle 83" descr="6663ac63-c477-404f-b57d-33817cbd1a05">
          <a:extLst>
            <a:ext uri="{FF2B5EF4-FFF2-40B4-BE49-F238E27FC236}">
              <a16:creationId xmlns:a16="http://schemas.microsoft.com/office/drawing/2014/main" id="{00000000-0008-0000-0A00-000054000000}"/>
            </a:ext>
          </a:extLst>
        </xdr:cNvPr>
        <xdr:cNvSpPr/>
      </xdr:nvSpPr>
      <xdr:spPr>
        <a:xfrm>
          <a:off x="5200650" y="4838700"/>
          <a:ext cx="1943100"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B0A8863-558B-42ED-9829-D0DFB27B9876}" type="TxLink">
            <a:rPr lang="en-US" sz="900" b="0" i="0" u="none" strike="noStrike">
              <a:solidFill>
                <a:srgbClr val="000000"/>
              </a:solidFill>
              <a:latin typeface="Verdana"/>
              <a:ea typeface="Verdana"/>
            </a:rPr>
            <a:pPr algn="ctr"/>
            <a:t>Waste water: 5613 m³/yr</a:t>
          </a:fld>
          <a:endParaRPr lang="en-BE" sz="1100">
            <a:solidFill>
              <a:schemeClr val="tx1"/>
            </a:solidFill>
          </a:endParaRPr>
        </a:p>
      </xdr:txBody>
    </xdr:sp>
    <xdr:clientData/>
  </xdr:twoCellAnchor>
  <xdr:twoCellAnchor>
    <xdr:from>
      <xdr:col>3</xdr:col>
      <xdr:colOff>952500</xdr:colOff>
      <xdr:row>14</xdr:row>
      <xdr:rowOff>119063</xdr:rowOff>
    </xdr:from>
    <xdr:to>
      <xdr:col>3</xdr:col>
      <xdr:colOff>1695450</xdr:colOff>
      <xdr:row>14</xdr:row>
      <xdr:rowOff>119063</xdr:rowOff>
    </xdr:to>
    <xdr:cxnSp macro="">
      <xdr:nvCxnSpPr>
        <xdr:cNvPr id="91" name="Straight Arrow Connector 90" descr="815ebff9-f0fe-4c57-bb56-652c4dbc28b8">
          <a:extLst>
            <a:ext uri="{FF2B5EF4-FFF2-40B4-BE49-F238E27FC236}">
              <a16:creationId xmlns:a16="http://schemas.microsoft.com/office/drawing/2014/main" id="{00000000-0008-0000-0A00-00005B000000}"/>
            </a:ext>
          </a:extLst>
        </xdr:cNvPr>
        <xdr:cNvCxnSpPr/>
      </xdr:nvCxnSpPr>
      <xdr:spPr>
        <a:xfrm>
          <a:off x="7096125" y="4338638"/>
          <a:ext cx="742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981075</xdr:colOff>
      <xdr:row>14</xdr:row>
      <xdr:rowOff>123825</xdr:rowOff>
    </xdr:from>
    <xdr:to>
      <xdr:col>4</xdr:col>
      <xdr:colOff>209550</xdr:colOff>
      <xdr:row>16</xdr:row>
      <xdr:rowOff>180975</xdr:rowOff>
    </xdr:to>
    <xdr:sp macro="" textlink="$N$14">
      <xdr:nvSpPr>
        <xdr:cNvPr id="93" name="Rectangle 92" descr="165a50a2-fa23-42d9-8996-f0d5c211abf3">
          <a:extLst>
            <a:ext uri="{FF2B5EF4-FFF2-40B4-BE49-F238E27FC236}">
              <a16:creationId xmlns:a16="http://schemas.microsoft.com/office/drawing/2014/main" id="{00000000-0008-0000-0A00-00005D000000}"/>
            </a:ext>
          </a:extLst>
        </xdr:cNvPr>
        <xdr:cNvSpPr/>
      </xdr:nvSpPr>
      <xdr:spPr>
        <a:xfrm>
          <a:off x="7124700" y="4343400"/>
          <a:ext cx="1943100"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A9177528-FC3E-4D1D-A089-18CC326C928C}" type="TxLink">
            <a:rPr lang="en-US" sz="900" b="0" i="0" u="none" strike="noStrike">
              <a:solidFill>
                <a:srgbClr val="000000"/>
              </a:solidFill>
              <a:latin typeface="Verdana"/>
              <a:ea typeface="Verdana"/>
            </a:rPr>
            <a:pPr algn="l"/>
            <a:t>Oxygen: 5.5 million m³/yr</a:t>
          </a:fld>
          <a:endParaRPr lang="en-BE" sz="1100">
            <a:solidFill>
              <a:schemeClr val="tx1"/>
            </a:solidFill>
          </a:endParaRPr>
        </a:p>
      </xdr:txBody>
    </xdr:sp>
    <xdr:clientData/>
  </xdr:twoCellAnchor>
  <xdr:twoCellAnchor>
    <xdr:from>
      <xdr:col>3</xdr:col>
      <xdr:colOff>1028700</xdr:colOff>
      <xdr:row>8</xdr:row>
      <xdr:rowOff>466725</xdr:rowOff>
    </xdr:from>
    <xdr:to>
      <xdr:col>4</xdr:col>
      <xdr:colOff>257175</xdr:colOff>
      <xdr:row>11</xdr:row>
      <xdr:rowOff>0</xdr:rowOff>
    </xdr:to>
    <xdr:sp macro="" textlink="$N$13">
      <xdr:nvSpPr>
        <xdr:cNvPr id="94" name="Rectangle 93" descr="30ebdee8-2973-47e7-90c1-f7b5ed88b6fa">
          <a:extLst>
            <a:ext uri="{FF2B5EF4-FFF2-40B4-BE49-F238E27FC236}">
              <a16:creationId xmlns:a16="http://schemas.microsoft.com/office/drawing/2014/main" id="{00000000-0008-0000-0A00-00005E000000}"/>
            </a:ext>
          </a:extLst>
        </xdr:cNvPr>
        <xdr:cNvSpPr/>
      </xdr:nvSpPr>
      <xdr:spPr>
        <a:xfrm>
          <a:off x="7172325" y="3400425"/>
          <a:ext cx="1943100" cy="390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9BE24FEE-B9B1-458B-A9FD-55D0A5061C35}" type="TxLink">
            <a:rPr lang="en-US" sz="900" b="0" i="0" u="none" strike="noStrike">
              <a:solidFill>
                <a:srgbClr val="000000"/>
              </a:solidFill>
              <a:latin typeface="Verdana"/>
              <a:ea typeface="Verdana"/>
            </a:rPr>
            <a:pPr algn="l"/>
            <a:t>Hydrogen: 11.3 million m³/yr</a:t>
          </a:fld>
          <a:endParaRPr lang="en-BE" sz="1100">
            <a:solidFill>
              <a:schemeClr val="tx1"/>
            </a:solidFill>
          </a:endParaRPr>
        </a:p>
      </xdr:txBody>
    </xdr:sp>
    <xdr:clientData/>
  </xdr:twoCellAnchor>
  <xdr:twoCellAnchor>
    <xdr:from>
      <xdr:col>4</xdr:col>
      <xdr:colOff>219075</xdr:colOff>
      <xdr:row>185</xdr:row>
      <xdr:rowOff>47625</xdr:rowOff>
    </xdr:from>
    <xdr:to>
      <xdr:col>8</xdr:col>
      <xdr:colOff>304800</xdr:colOff>
      <xdr:row>207</xdr:row>
      <xdr:rowOff>104775</xdr:rowOff>
    </xdr:to>
    <xdr:graphicFrame macro="">
      <xdr:nvGraphicFramePr>
        <xdr:cNvPr id="3" name="Chart 2">
          <a:extLst>
            <a:ext uri="{FF2B5EF4-FFF2-40B4-BE49-F238E27FC236}">
              <a16:creationId xmlns:a16="http://schemas.microsoft.com/office/drawing/2014/main" id="{00000000-0008-0000-0A00-000003000000}"/>
            </a:ext>
            <a:ext uri="{147F2762-F138-4A5C-976F-8EAC2B608ADB}">
              <a16:predDERef xmlns:a16="http://schemas.microsoft.com/office/drawing/2014/main" pred="{0CF927CC-6BA6-47D5-B560-87CBE1C19C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852487</xdr:colOff>
      <xdr:row>259</xdr:row>
      <xdr:rowOff>90487</xdr:rowOff>
    </xdr:from>
    <xdr:to>
      <xdr:col>16</xdr:col>
      <xdr:colOff>1047750</xdr:colOff>
      <xdr:row>280</xdr:row>
      <xdr:rowOff>76200</xdr:rowOff>
    </xdr:to>
    <xdr:graphicFrame macro="">
      <xdr:nvGraphicFramePr>
        <xdr:cNvPr id="10" name="Chart 9">
          <a:extLst>
            <a:ext uri="{FF2B5EF4-FFF2-40B4-BE49-F238E27FC236}">
              <a16:creationId xmlns:a16="http://schemas.microsoft.com/office/drawing/2014/main" id="{00000000-0008-0000-0A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457200</xdr:colOff>
      <xdr:row>211</xdr:row>
      <xdr:rowOff>83820</xdr:rowOff>
    </xdr:from>
    <xdr:to>
      <xdr:col>5</xdr:col>
      <xdr:colOff>342901</xdr:colOff>
      <xdr:row>230</xdr:row>
      <xdr:rowOff>133350</xdr:rowOff>
    </xdr:to>
    <xdr:graphicFrame macro="">
      <xdr:nvGraphicFramePr>
        <xdr:cNvPr id="5" name="Chart 4">
          <a:extLst>
            <a:ext uri="{FF2B5EF4-FFF2-40B4-BE49-F238E27FC236}">
              <a16:creationId xmlns:a16="http://schemas.microsoft.com/office/drawing/2014/main" id="{00000000-0008-0000-0A00-000005000000}"/>
            </a:ext>
            <a:ext uri="{147F2762-F138-4A5C-976F-8EAC2B608ADB}">
              <a16:predDERef xmlns:a16="http://schemas.microsoft.com/office/drawing/2014/main" pred="{BDF48A67-DAFA-4E52-96B5-B5C9624C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466725</xdr:colOff>
      <xdr:row>185</xdr:row>
      <xdr:rowOff>28575</xdr:rowOff>
    </xdr:from>
    <xdr:to>
      <xdr:col>11</xdr:col>
      <xdr:colOff>904875</xdr:colOff>
      <xdr:row>209</xdr:row>
      <xdr:rowOff>9525</xdr:rowOff>
    </xdr:to>
    <mc:AlternateContent xmlns:mc="http://schemas.openxmlformats.org/markup-compatibility/2006">
      <mc:Choice xmlns:cx1="http://schemas.microsoft.com/office/drawing/2015/9/8/chartex" Requires="cx1">
        <xdr:graphicFrame macro="">
          <xdr:nvGraphicFramePr>
            <xdr:cNvPr id="6" name="Chart 8">
              <a:extLst>
                <a:ext uri="{FF2B5EF4-FFF2-40B4-BE49-F238E27FC236}">
                  <a16:creationId xmlns:a16="http://schemas.microsoft.com/office/drawing/2014/main" id="{00000000-0008-0000-0A00-000006000000}"/>
                </a:ext>
                <a:ext uri="{147F2762-F138-4A5C-976F-8EAC2B608ADB}">
                  <a16:predDERef xmlns:a16="http://schemas.microsoft.com/office/drawing/2014/main" pred="{E54FDAF5-D4AB-4549-9AC9-DA88A20E320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3"/>
            </a:graphicData>
          </a:graphic>
        </xdr:graphicFrame>
      </mc:Choice>
      <mc:Fallback>
        <xdr:sp macro="" textlink="">
          <xdr:nvSpPr>
            <xdr:cNvPr id="0" name=""/>
            <xdr:cNvSpPr>
              <a:spLocks noTextEdit="1"/>
            </xdr:cNvSpPr>
          </xdr:nvSpPr>
          <xdr:spPr>
            <a:xfrm>
              <a:off x="15413355" y="29239845"/>
              <a:ext cx="4692015" cy="3442335"/>
            </a:xfrm>
            <a:prstGeom prst="rect">
              <a:avLst/>
            </a:prstGeom>
            <a:solidFill>
              <a:prstClr val="white"/>
            </a:solidFill>
            <a:ln w="1">
              <a:solidFill>
                <a:prstClr val="green"/>
              </a:solidFill>
            </a:ln>
          </xdr:spPr>
          <xdr:txBody>
            <a:bodyPr vertOverflow="clip" horzOverflow="clip"/>
            <a:lstStyle/>
            <a:p>
              <a:r>
                <a:rPr lang="en-BE"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xdr:col>
      <xdr:colOff>527050</xdr:colOff>
      <xdr:row>211</xdr:row>
      <xdr:rowOff>87629</xdr:rowOff>
    </xdr:from>
    <xdr:to>
      <xdr:col>8</xdr:col>
      <xdr:colOff>25400</xdr:colOff>
      <xdr:row>230</xdr:row>
      <xdr:rowOff>125730</xdr:rowOff>
    </xdr:to>
    <xdr:graphicFrame macro="">
      <xdr:nvGraphicFramePr>
        <xdr:cNvPr id="9" name="Chart 8">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1539240</xdr:colOff>
      <xdr:row>236</xdr:row>
      <xdr:rowOff>140970</xdr:rowOff>
    </xdr:from>
    <xdr:to>
      <xdr:col>5</xdr:col>
      <xdr:colOff>320040</xdr:colOff>
      <xdr:row>255</xdr:row>
      <xdr:rowOff>133350</xdr:rowOff>
    </xdr:to>
    <xdr:graphicFrame macro="">
      <xdr:nvGraphicFramePr>
        <xdr:cNvPr id="12" name="Chart 11">
          <a:extLst>
            <a:ext uri="{FF2B5EF4-FFF2-40B4-BE49-F238E27FC236}">
              <a16:creationId xmlns:a16="http://schemas.microsoft.com/office/drawing/2014/main" id="{B264565C-C057-4193-961C-BEEF637B23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198120</xdr:colOff>
      <xdr:row>0</xdr:row>
      <xdr:rowOff>85725</xdr:rowOff>
    </xdr:from>
    <xdr:to>
      <xdr:col>9</xdr:col>
      <xdr:colOff>304165</xdr:colOff>
      <xdr:row>0</xdr:row>
      <xdr:rowOff>1746462</xdr:rowOff>
    </xdr:to>
    <xdr:grpSp>
      <xdr:nvGrpSpPr>
        <xdr:cNvPr id="66" name="Group 65">
          <a:extLst>
            <a:ext uri="{FF2B5EF4-FFF2-40B4-BE49-F238E27FC236}">
              <a16:creationId xmlns:a16="http://schemas.microsoft.com/office/drawing/2014/main" id="{A9000850-C5AA-47BC-97FA-E3A42E766E7E}"/>
            </a:ext>
          </a:extLst>
        </xdr:cNvPr>
        <xdr:cNvGrpSpPr/>
      </xdr:nvGrpSpPr>
      <xdr:grpSpPr>
        <a:xfrm>
          <a:off x="200025" y="87630"/>
          <a:ext cx="16468090" cy="1656927"/>
          <a:chOff x="171450" y="91441"/>
          <a:chExt cx="16462375" cy="1683597"/>
        </a:xfrm>
      </xdr:grpSpPr>
      <xdr:pic>
        <xdr:nvPicPr>
          <xdr:cNvPr id="67" name="Picture 66">
            <a:extLst>
              <a:ext uri="{FF2B5EF4-FFF2-40B4-BE49-F238E27FC236}">
                <a16:creationId xmlns:a16="http://schemas.microsoft.com/office/drawing/2014/main" id="{C4F59B35-C577-47B1-8293-B76201E861CA}"/>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68" name="Group 67">
            <a:extLst>
              <a:ext uri="{FF2B5EF4-FFF2-40B4-BE49-F238E27FC236}">
                <a16:creationId xmlns:a16="http://schemas.microsoft.com/office/drawing/2014/main" id="{026C0AD9-2C99-4048-9484-5592B90F9F70}"/>
              </a:ext>
            </a:extLst>
          </xdr:cNvPr>
          <xdr:cNvGrpSpPr/>
        </xdr:nvGrpSpPr>
        <xdr:grpSpPr>
          <a:xfrm>
            <a:off x="167640" y="95251"/>
            <a:ext cx="16462375" cy="1675977"/>
            <a:chOff x="167640" y="95251"/>
            <a:chExt cx="16462375" cy="1675977"/>
          </a:xfrm>
        </xdr:grpSpPr>
        <xdr:grpSp>
          <xdr:nvGrpSpPr>
            <xdr:cNvPr id="69" name="Group 68">
              <a:extLst>
                <a:ext uri="{FF2B5EF4-FFF2-40B4-BE49-F238E27FC236}">
                  <a16:creationId xmlns:a16="http://schemas.microsoft.com/office/drawing/2014/main" id="{DB0A8565-D849-449B-BC11-DFE53878AD37}"/>
                </a:ext>
              </a:extLst>
            </xdr:cNvPr>
            <xdr:cNvGrpSpPr/>
          </xdr:nvGrpSpPr>
          <xdr:grpSpPr>
            <a:xfrm>
              <a:off x="171450" y="91441"/>
              <a:ext cx="16462375" cy="1683597"/>
              <a:chOff x="171449" y="38100"/>
              <a:chExt cx="16659225" cy="1704975"/>
            </a:xfrm>
          </xdr:grpSpPr>
          <xdr:grpSp>
            <xdr:nvGrpSpPr>
              <xdr:cNvPr id="71" name="Group 70">
                <a:extLst>
                  <a:ext uri="{FF2B5EF4-FFF2-40B4-BE49-F238E27FC236}">
                    <a16:creationId xmlns:a16="http://schemas.microsoft.com/office/drawing/2014/main" id="{63C6CF83-606D-4B3E-AFD1-A1101F57BD73}"/>
                  </a:ext>
                </a:extLst>
              </xdr:cNvPr>
              <xdr:cNvGrpSpPr/>
            </xdr:nvGrpSpPr>
            <xdr:grpSpPr>
              <a:xfrm>
                <a:off x="171449" y="38100"/>
                <a:ext cx="16659225" cy="1704975"/>
                <a:chOff x="171449" y="38100"/>
                <a:chExt cx="16659225" cy="1704975"/>
              </a:xfrm>
            </xdr:grpSpPr>
            <xdr:pic>
              <xdr:nvPicPr>
                <xdr:cNvPr id="74" name="Picture 73" descr="catalisti.be">
                  <a:extLst>
                    <a:ext uri="{FF2B5EF4-FFF2-40B4-BE49-F238E27FC236}">
                      <a16:creationId xmlns:a16="http://schemas.microsoft.com/office/drawing/2014/main" id="{F0A1BA6C-4D97-4F48-BE4E-8938B11A39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5" name="Rectangle 74">
                  <a:extLst>
                    <a:ext uri="{FF2B5EF4-FFF2-40B4-BE49-F238E27FC236}">
                      <a16:creationId xmlns:a16="http://schemas.microsoft.com/office/drawing/2014/main" id="{445DB217-2279-43BB-806B-3507A8892873}"/>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76" name="Rectangle: Rounded Corners 75">
                  <a:extLst>
                    <a:ext uri="{FF2B5EF4-FFF2-40B4-BE49-F238E27FC236}">
                      <a16:creationId xmlns:a16="http://schemas.microsoft.com/office/drawing/2014/main" id="{AB753700-444C-4375-8B5F-2559EB2664DC}"/>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77" name="Picture 76">
                  <a:extLst>
                    <a:ext uri="{FF2B5EF4-FFF2-40B4-BE49-F238E27FC236}">
                      <a16:creationId xmlns:a16="http://schemas.microsoft.com/office/drawing/2014/main" id="{269E70CE-3F3F-43E2-8589-8F429ABB8D2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78" name="Picture 77">
                  <a:extLst>
                    <a:ext uri="{FF2B5EF4-FFF2-40B4-BE49-F238E27FC236}">
                      <a16:creationId xmlns:a16="http://schemas.microsoft.com/office/drawing/2014/main" id="{9ECDB102-F2C8-4169-BF93-D64490B11C72}"/>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79" name="Picture 78">
                  <a:extLst>
                    <a:ext uri="{FF2B5EF4-FFF2-40B4-BE49-F238E27FC236}">
                      <a16:creationId xmlns:a16="http://schemas.microsoft.com/office/drawing/2014/main" id="{036DB52E-23E5-4E8D-8FF1-0BF4D26B451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80" name="Picture 79">
                  <a:extLst>
                    <a:ext uri="{FF2B5EF4-FFF2-40B4-BE49-F238E27FC236}">
                      <a16:creationId xmlns:a16="http://schemas.microsoft.com/office/drawing/2014/main" id="{458BFE4E-1CF4-43A3-B275-25F2F54D86E3}"/>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72" name="Picture 71">
                <a:extLst>
                  <a:ext uri="{FF2B5EF4-FFF2-40B4-BE49-F238E27FC236}">
                    <a16:creationId xmlns:a16="http://schemas.microsoft.com/office/drawing/2014/main" id="{4012376E-AA37-4450-9E2D-6C47A05B274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73" name="TextBox 72">
                <a:extLst>
                  <a:ext uri="{FF2B5EF4-FFF2-40B4-BE49-F238E27FC236}">
                    <a16:creationId xmlns:a16="http://schemas.microsoft.com/office/drawing/2014/main" id="{2BB23B1F-1D9F-4A63-BF14-4867FB9A39ED}"/>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70" name="Picture 69">
              <a:extLst>
                <a:ext uri="{FF2B5EF4-FFF2-40B4-BE49-F238E27FC236}">
                  <a16:creationId xmlns:a16="http://schemas.microsoft.com/office/drawing/2014/main" id="{C6BDD4A1-E53F-465D-9A7A-81ED2867A14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352425</xdr:colOff>
      <xdr:row>4</xdr:row>
      <xdr:rowOff>114300</xdr:rowOff>
    </xdr:from>
    <xdr:to>
      <xdr:col>0</xdr:col>
      <xdr:colOff>962025</xdr:colOff>
      <xdr:row>8</xdr:row>
      <xdr:rowOff>215265</xdr:rowOff>
    </xdr:to>
    <xdr:grpSp>
      <xdr:nvGrpSpPr>
        <xdr:cNvPr id="16" name="Group 15">
          <a:extLst>
            <a:ext uri="{FF2B5EF4-FFF2-40B4-BE49-F238E27FC236}">
              <a16:creationId xmlns:a16="http://schemas.microsoft.com/office/drawing/2014/main" id="{7E6DEA32-7860-43EB-8315-5DFE68E1AC9E}"/>
            </a:ext>
          </a:extLst>
        </xdr:cNvPr>
        <xdr:cNvGrpSpPr/>
      </xdr:nvGrpSpPr>
      <xdr:grpSpPr>
        <a:xfrm>
          <a:off x="354330" y="2476500"/>
          <a:ext cx="609600" cy="668655"/>
          <a:chOff x="12801600" y="129540"/>
          <a:chExt cx="609600" cy="685800"/>
        </a:xfrm>
      </xdr:grpSpPr>
      <xdr:pic macro="[0]!Previous_worksheet">
        <xdr:nvPicPr>
          <xdr:cNvPr id="17" name="Picture 16">
            <a:extLst>
              <a:ext uri="{FF2B5EF4-FFF2-40B4-BE49-F238E27FC236}">
                <a16:creationId xmlns:a16="http://schemas.microsoft.com/office/drawing/2014/main" id="{D45A6693-4016-F1A7-0CAE-439FBFDAF14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8" name="TextBox 17">
            <a:extLst>
              <a:ext uri="{FF2B5EF4-FFF2-40B4-BE49-F238E27FC236}">
                <a16:creationId xmlns:a16="http://schemas.microsoft.com/office/drawing/2014/main" id="{A31BAF33-04AC-9263-7F91-A7B9101A8309}"/>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180975</xdr:colOff>
      <xdr:row>8</xdr:row>
      <xdr:rowOff>485775</xdr:rowOff>
    </xdr:from>
    <xdr:to>
      <xdr:col>0</xdr:col>
      <xdr:colOff>1876425</xdr:colOff>
      <xdr:row>10</xdr:row>
      <xdr:rowOff>110490</xdr:rowOff>
    </xdr:to>
    <xdr:sp macro="" textlink="">
      <xdr:nvSpPr>
        <xdr:cNvPr id="19" name="Rounded Rectangle 7" descr="a4461fd3-ee10-4e25-a8c9-24250bb7ff54">
          <a:hlinkClick xmlns:r="http://schemas.openxmlformats.org/officeDocument/2006/relationships" r:id="rId10"/>
          <a:extLst>
            <a:ext uri="{FF2B5EF4-FFF2-40B4-BE49-F238E27FC236}">
              <a16:creationId xmlns:a16="http://schemas.microsoft.com/office/drawing/2014/main" id="{B3B2390C-A866-4E02-AF3B-434DE8F5D523}"/>
            </a:ext>
          </a:extLst>
        </xdr:cNvPr>
        <xdr:cNvSpPr/>
      </xdr:nvSpPr>
      <xdr:spPr>
        <a:xfrm>
          <a:off x="180975" y="3419475"/>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Technical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11</xdr:row>
      <xdr:rowOff>76200</xdr:rowOff>
    </xdr:from>
    <xdr:to>
      <xdr:col>0</xdr:col>
      <xdr:colOff>1866900</xdr:colOff>
      <xdr:row>13</xdr:row>
      <xdr:rowOff>129540</xdr:rowOff>
    </xdr:to>
    <xdr:sp macro="" textlink="">
      <xdr:nvSpPr>
        <xdr:cNvPr id="20" name="Rounded Rectangle 7" descr="facce393-8bde-48e2-af95-2cd0cce906a7">
          <a:hlinkClick xmlns:r="http://schemas.openxmlformats.org/officeDocument/2006/relationships" r:id="rId11"/>
          <a:extLst>
            <a:ext uri="{FF2B5EF4-FFF2-40B4-BE49-F238E27FC236}">
              <a16:creationId xmlns:a16="http://schemas.microsoft.com/office/drawing/2014/main" id="{67385177-E486-43C2-8876-F6FF90D5F50D}"/>
            </a:ext>
          </a:extLst>
        </xdr:cNvPr>
        <xdr:cNvSpPr/>
      </xdr:nvSpPr>
      <xdr:spPr>
        <a:xfrm>
          <a:off x="171450" y="386715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Economic</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14</xdr:row>
      <xdr:rowOff>85725</xdr:rowOff>
    </xdr:from>
    <xdr:to>
      <xdr:col>0</xdr:col>
      <xdr:colOff>1866900</xdr:colOff>
      <xdr:row>16</xdr:row>
      <xdr:rowOff>91440</xdr:rowOff>
    </xdr:to>
    <xdr:sp macro="" textlink="">
      <xdr:nvSpPr>
        <xdr:cNvPr id="21" name="Rounded Rectangle 7" descr="842f6373-c4b6-460f-ba8e-ec4afaa41c9f">
          <a:hlinkClick xmlns:r="http://schemas.openxmlformats.org/officeDocument/2006/relationships" r:id="rId12"/>
          <a:extLst>
            <a:ext uri="{FF2B5EF4-FFF2-40B4-BE49-F238E27FC236}">
              <a16:creationId xmlns:a16="http://schemas.microsoft.com/office/drawing/2014/main" id="{E0818558-E672-482F-8725-3AF3D3937943}"/>
            </a:ext>
          </a:extLst>
        </xdr:cNvPr>
        <xdr:cNvSpPr/>
      </xdr:nvSpPr>
      <xdr:spPr>
        <a:xfrm>
          <a:off x="171450" y="430530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Environmental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542925</xdr:colOff>
      <xdr:row>2</xdr:row>
      <xdr:rowOff>28575</xdr:rowOff>
    </xdr:from>
    <xdr:to>
      <xdr:col>0</xdr:col>
      <xdr:colOff>1464945</xdr:colOff>
      <xdr:row>3</xdr:row>
      <xdr:rowOff>215265</xdr:rowOff>
    </xdr:to>
    <xdr:sp macro="" textlink="">
      <xdr:nvSpPr>
        <xdr:cNvPr id="22" name="Rounded Rectangle 25" descr="01729492-20e6-4829-8e64-dfa665c2a982">
          <a:hlinkClick xmlns:r="http://schemas.openxmlformats.org/officeDocument/2006/relationships" r:id="rId13"/>
          <a:extLst>
            <a:ext uri="{FF2B5EF4-FFF2-40B4-BE49-F238E27FC236}">
              <a16:creationId xmlns:a16="http://schemas.microsoft.com/office/drawing/2014/main" id="{69FBAD4A-7A70-4078-AD03-D11A9C65960E}"/>
            </a:ext>
          </a:extLst>
        </xdr:cNvPr>
        <xdr:cNvSpPr/>
      </xdr:nvSpPr>
      <xdr:spPr>
        <a:xfrm>
          <a:off x="542925" y="2000250"/>
          <a:ext cx="922020"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Summary</a:t>
          </a:r>
        </a:p>
      </xdr:txBody>
    </xdr:sp>
    <xdr:clientData/>
  </xdr:twoCellAnchor>
  <xdr:twoCellAnchor editAs="oneCell">
    <xdr:from>
      <xdr:col>2</xdr:col>
      <xdr:colOff>485775</xdr:colOff>
      <xdr:row>3</xdr:row>
      <xdr:rowOff>19050</xdr:rowOff>
    </xdr:from>
    <xdr:to>
      <xdr:col>2</xdr:col>
      <xdr:colOff>693057</xdr:colOff>
      <xdr:row>3</xdr:row>
      <xdr:rowOff>220235</xdr:rowOff>
    </xdr:to>
    <xdr:pic>
      <xdr:nvPicPr>
        <xdr:cNvPr id="23" name="Picture 22">
          <a:extLst>
            <a:ext uri="{FF2B5EF4-FFF2-40B4-BE49-F238E27FC236}">
              <a16:creationId xmlns:a16="http://schemas.microsoft.com/office/drawing/2014/main" id="{91AB43A5-8DB0-4250-8AF3-F58999B7ABEF}"/>
            </a:ext>
          </a:extLst>
        </xdr:cNvPr>
        <xdr:cNvPicPr>
          <a:picLocks noChangeAspect="1"/>
        </xdr:cNvPicPr>
      </xdr:nvPicPr>
      <xdr:blipFill>
        <a:blip xmlns:r="http://schemas.openxmlformats.org/officeDocument/2006/relationships" r:embed="rId14"/>
        <a:stretch>
          <a:fillRect/>
        </a:stretch>
      </xdr:blipFill>
      <xdr:spPr>
        <a:xfrm>
          <a:off x="5248275" y="2133600"/>
          <a:ext cx="207282" cy="201185"/>
        </a:xfrm>
        <a:prstGeom prst="rect">
          <a:avLst/>
        </a:prstGeom>
      </xdr:spPr>
    </xdr:pic>
    <xdr:clientData/>
  </xdr:twoCellAnchor>
  <xdr:twoCellAnchor>
    <xdr:from>
      <xdr:col>3</xdr:col>
      <xdr:colOff>0</xdr:colOff>
      <xdr:row>2</xdr:row>
      <xdr:rowOff>0</xdr:rowOff>
    </xdr:from>
    <xdr:to>
      <xdr:col>3</xdr:col>
      <xdr:colOff>2076450</xdr:colOff>
      <xdr:row>3</xdr:row>
      <xdr:rowOff>171450</xdr:rowOff>
    </xdr:to>
    <xdr:sp macro="" textlink="">
      <xdr:nvSpPr>
        <xdr:cNvPr id="24" name="Rectangle: Rounded Corners 23" descr="f13e694d-75c5-4207-bf07-ddd0ba96aebc">
          <a:hlinkClick xmlns:r="http://schemas.openxmlformats.org/officeDocument/2006/relationships" r:id="rId15"/>
          <a:extLst>
            <a:ext uri="{FF2B5EF4-FFF2-40B4-BE49-F238E27FC236}">
              <a16:creationId xmlns:a16="http://schemas.microsoft.com/office/drawing/2014/main" id="{0BBA3B3B-5A5E-4BFE-BDE0-498DDF266A5B}"/>
            </a:ext>
          </a:extLst>
        </xdr:cNvPr>
        <xdr:cNvSpPr/>
      </xdr:nvSpPr>
      <xdr:spPr>
        <a:xfrm>
          <a:off x="6296025" y="1971675"/>
          <a:ext cx="2076450" cy="314325"/>
        </a:xfrm>
        <a:prstGeom prst="roundRect">
          <a:avLst/>
        </a:prstGeom>
        <a:solidFill>
          <a:schemeClr val="accent1">
            <a:lumMod val="60000"/>
            <a:lumOff val="40000"/>
          </a:schemeClr>
        </a:solidFill>
        <a:ln>
          <a:solidFill>
            <a:schemeClr val="accent1">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Technical </a:t>
          </a:r>
          <a:endParaRPr lang="en-BE" sz="1400" b="1"/>
        </a:p>
      </xdr:txBody>
    </xdr:sp>
    <xdr:clientData/>
  </xdr:twoCellAnchor>
  <xdr:twoCellAnchor>
    <xdr:from>
      <xdr:col>3</xdr:col>
      <xdr:colOff>2171700</xdr:colOff>
      <xdr:row>2</xdr:row>
      <xdr:rowOff>0</xdr:rowOff>
    </xdr:from>
    <xdr:to>
      <xdr:col>5</xdr:col>
      <xdr:colOff>152400</xdr:colOff>
      <xdr:row>3</xdr:row>
      <xdr:rowOff>171450</xdr:rowOff>
    </xdr:to>
    <xdr:sp macro="" textlink="">
      <xdr:nvSpPr>
        <xdr:cNvPr id="25" name="Rectangle: Rounded Corners 24" descr="a3f61add-8a6e-4e81-a809-a56a19ec928f">
          <a:hlinkClick xmlns:r="http://schemas.openxmlformats.org/officeDocument/2006/relationships" r:id="rId16"/>
          <a:extLst>
            <a:ext uri="{FF2B5EF4-FFF2-40B4-BE49-F238E27FC236}">
              <a16:creationId xmlns:a16="http://schemas.microsoft.com/office/drawing/2014/main" id="{D62CE9EB-F396-4071-803D-614E0AC421F4}"/>
            </a:ext>
          </a:extLst>
        </xdr:cNvPr>
        <xdr:cNvSpPr/>
      </xdr:nvSpPr>
      <xdr:spPr>
        <a:xfrm>
          <a:off x="8467725" y="1971675"/>
          <a:ext cx="2076450" cy="314325"/>
        </a:xfrm>
        <a:prstGeom prst="roundRect">
          <a:avLst/>
        </a:prstGeom>
        <a:solidFill>
          <a:schemeClr val="accent2">
            <a:lumMod val="60000"/>
            <a:lumOff val="40000"/>
          </a:schemeClr>
        </a:solidFill>
        <a:ln>
          <a:solidFill>
            <a:schemeClr val="accent2">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Economic</a:t>
          </a:r>
          <a:endParaRPr lang="en-BE" sz="1400" b="1"/>
        </a:p>
      </xdr:txBody>
    </xdr:sp>
    <xdr:clientData/>
  </xdr:twoCellAnchor>
  <xdr:twoCellAnchor>
    <xdr:from>
      <xdr:col>5</xdr:col>
      <xdr:colOff>238125</xdr:colOff>
      <xdr:row>2</xdr:row>
      <xdr:rowOff>0</xdr:rowOff>
    </xdr:from>
    <xdr:to>
      <xdr:col>6</xdr:col>
      <xdr:colOff>933450</xdr:colOff>
      <xdr:row>3</xdr:row>
      <xdr:rowOff>171450</xdr:rowOff>
    </xdr:to>
    <xdr:sp macro="" textlink="">
      <xdr:nvSpPr>
        <xdr:cNvPr id="26" name="Rectangle: Rounded Corners 25" descr="c74321de-6fe7-4bd8-ba52-d17e23b27a7d">
          <a:hlinkClick xmlns:r="http://schemas.openxmlformats.org/officeDocument/2006/relationships" r:id="rId17"/>
          <a:extLst>
            <a:ext uri="{FF2B5EF4-FFF2-40B4-BE49-F238E27FC236}">
              <a16:creationId xmlns:a16="http://schemas.microsoft.com/office/drawing/2014/main" id="{DB38DFE4-D597-49ED-842F-911D39312809}"/>
            </a:ext>
          </a:extLst>
        </xdr:cNvPr>
        <xdr:cNvSpPr/>
      </xdr:nvSpPr>
      <xdr:spPr>
        <a:xfrm>
          <a:off x="10629900" y="1971675"/>
          <a:ext cx="2076450" cy="314325"/>
        </a:xfrm>
        <a:prstGeom prst="roundRect">
          <a:avLst/>
        </a:prstGeom>
        <a:solidFill>
          <a:srgbClr val="CFD4A0"/>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Environmental </a:t>
          </a:r>
          <a:endParaRPr lang="en-BE" sz="1400" b="1"/>
        </a:p>
      </xdr:txBody>
    </xdr:sp>
    <xdr:clientData/>
  </xdr:twoCellAnchor>
  <xdr:twoCellAnchor editAs="oneCell">
    <xdr:from>
      <xdr:col>1</xdr:col>
      <xdr:colOff>323850</xdr:colOff>
      <xdr:row>5</xdr:row>
      <xdr:rowOff>9525</xdr:rowOff>
    </xdr:from>
    <xdr:to>
      <xdr:col>1</xdr:col>
      <xdr:colOff>461241</xdr:colOff>
      <xdr:row>6</xdr:row>
      <xdr:rowOff>0</xdr:rowOff>
    </xdr:to>
    <xdr:pic>
      <xdr:nvPicPr>
        <xdr:cNvPr id="27" name="Picture 26">
          <a:extLst>
            <a:ext uri="{FF2B5EF4-FFF2-40B4-BE49-F238E27FC236}">
              <a16:creationId xmlns:a16="http://schemas.microsoft.com/office/drawing/2014/main" id="{8A0E0971-E177-4775-8A8E-4807031A18F7}"/>
            </a:ext>
          </a:extLst>
        </xdr:cNvPr>
        <xdr:cNvPicPr>
          <a:picLocks noChangeAspect="1"/>
        </xdr:cNvPicPr>
      </xdr:nvPicPr>
      <xdr:blipFill>
        <a:blip xmlns:r="http://schemas.openxmlformats.org/officeDocument/2006/relationships" r:embed="rId14"/>
        <a:stretch>
          <a:fillRect/>
        </a:stretch>
      </xdr:blipFill>
      <xdr:spPr>
        <a:xfrm>
          <a:off x="2371725" y="2514600"/>
          <a:ext cx="137391" cy="133350"/>
        </a:xfrm>
        <a:prstGeom prst="rect">
          <a:avLst/>
        </a:prstGeom>
      </xdr:spPr>
    </xdr:pic>
    <xdr:clientData/>
  </xdr:twoCellAnchor>
  <xdr:twoCellAnchor editAs="oneCell">
    <xdr:from>
      <xdr:col>1</xdr:col>
      <xdr:colOff>695325</xdr:colOff>
      <xdr:row>29</xdr:row>
      <xdr:rowOff>0</xdr:rowOff>
    </xdr:from>
    <xdr:to>
      <xdr:col>1</xdr:col>
      <xdr:colOff>832716</xdr:colOff>
      <xdr:row>29</xdr:row>
      <xdr:rowOff>133350</xdr:rowOff>
    </xdr:to>
    <xdr:pic>
      <xdr:nvPicPr>
        <xdr:cNvPr id="28" name="Picture 27">
          <a:extLst>
            <a:ext uri="{FF2B5EF4-FFF2-40B4-BE49-F238E27FC236}">
              <a16:creationId xmlns:a16="http://schemas.microsoft.com/office/drawing/2014/main" id="{72141B94-50BB-46EB-B687-C9AEFFDBEB6D}"/>
            </a:ext>
          </a:extLst>
        </xdr:cNvPr>
        <xdr:cNvPicPr>
          <a:picLocks noChangeAspect="1"/>
        </xdr:cNvPicPr>
      </xdr:nvPicPr>
      <xdr:blipFill>
        <a:blip xmlns:r="http://schemas.openxmlformats.org/officeDocument/2006/relationships" r:embed="rId14"/>
        <a:stretch>
          <a:fillRect/>
        </a:stretch>
      </xdr:blipFill>
      <xdr:spPr>
        <a:xfrm>
          <a:off x="2743200" y="6457950"/>
          <a:ext cx="137391" cy="133350"/>
        </a:xfrm>
        <a:prstGeom prst="rect">
          <a:avLst/>
        </a:prstGeom>
      </xdr:spPr>
    </xdr:pic>
    <xdr:clientData/>
  </xdr:twoCellAnchor>
  <xdr:twoCellAnchor editAs="oneCell">
    <xdr:from>
      <xdr:col>1</xdr:col>
      <xdr:colOff>685800</xdr:colOff>
      <xdr:row>77</xdr:row>
      <xdr:rowOff>9525</xdr:rowOff>
    </xdr:from>
    <xdr:to>
      <xdr:col>1</xdr:col>
      <xdr:colOff>823191</xdr:colOff>
      <xdr:row>78</xdr:row>
      <xdr:rowOff>0</xdr:rowOff>
    </xdr:to>
    <xdr:pic>
      <xdr:nvPicPr>
        <xdr:cNvPr id="29" name="Picture 28">
          <a:extLst>
            <a:ext uri="{FF2B5EF4-FFF2-40B4-BE49-F238E27FC236}">
              <a16:creationId xmlns:a16="http://schemas.microsoft.com/office/drawing/2014/main" id="{F137BCCD-CB2A-421A-A22A-A6B8A6E6F220}"/>
            </a:ext>
          </a:extLst>
        </xdr:cNvPr>
        <xdr:cNvPicPr>
          <a:picLocks noChangeAspect="1"/>
        </xdr:cNvPicPr>
      </xdr:nvPicPr>
      <xdr:blipFill>
        <a:blip xmlns:r="http://schemas.openxmlformats.org/officeDocument/2006/relationships" r:embed="rId14"/>
        <a:stretch>
          <a:fillRect/>
        </a:stretch>
      </xdr:blipFill>
      <xdr:spPr>
        <a:xfrm>
          <a:off x="2733675" y="13325475"/>
          <a:ext cx="137391" cy="133350"/>
        </a:xfrm>
        <a:prstGeom prst="rect">
          <a:avLst/>
        </a:prstGeom>
      </xdr:spPr>
    </xdr:pic>
    <xdr:clientData/>
  </xdr:twoCellAnchor>
  <xdr:twoCellAnchor editAs="oneCell">
    <xdr:from>
      <xdr:col>1</xdr:col>
      <xdr:colOff>990600</xdr:colOff>
      <xdr:row>144</xdr:row>
      <xdr:rowOff>9525</xdr:rowOff>
    </xdr:from>
    <xdr:to>
      <xdr:col>1</xdr:col>
      <xdr:colOff>1127991</xdr:colOff>
      <xdr:row>145</xdr:row>
      <xdr:rowOff>0</xdr:rowOff>
    </xdr:to>
    <xdr:pic>
      <xdr:nvPicPr>
        <xdr:cNvPr id="30" name="Picture 29">
          <a:extLst>
            <a:ext uri="{FF2B5EF4-FFF2-40B4-BE49-F238E27FC236}">
              <a16:creationId xmlns:a16="http://schemas.microsoft.com/office/drawing/2014/main" id="{ECB3C8D7-4D54-486D-8C1C-8ACC7AFE3884}"/>
            </a:ext>
          </a:extLst>
        </xdr:cNvPr>
        <xdr:cNvPicPr>
          <a:picLocks noChangeAspect="1"/>
        </xdr:cNvPicPr>
      </xdr:nvPicPr>
      <xdr:blipFill>
        <a:blip xmlns:r="http://schemas.openxmlformats.org/officeDocument/2006/relationships" r:embed="rId14"/>
        <a:stretch>
          <a:fillRect/>
        </a:stretch>
      </xdr:blipFill>
      <xdr:spPr>
        <a:xfrm>
          <a:off x="3038475" y="22898100"/>
          <a:ext cx="137391" cy="133350"/>
        </a:xfrm>
        <a:prstGeom prst="rect">
          <a:avLst/>
        </a:prstGeom>
      </xdr:spPr>
    </xdr:pic>
    <xdr:clientData/>
  </xdr:twoCellAnchor>
  <xdr:twoCellAnchor editAs="oneCell">
    <xdr:from>
      <xdr:col>0</xdr:col>
      <xdr:colOff>504825</xdr:colOff>
      <xdr:row>55</xdr:row>
      <xdr:rowOff>47625</xdr:rowOff>
    </xdr:from>
    <xdr:to>
      <xdr:col>0</xdr:col>
      <xdr:colOff>1411605</xdr:colOff>
      <xdr:row>60</xdr:row>
      <xdr:rowOff>62865</xdr:rowOff>
    </xdr:to>
    <xdr:grpSp>
      <xdr:nvGrpSpPr>
        <xdr:cNvPr id="31" name="Group 30">
          <a:extLst>
            <a:ext uri="{FF2B5EF4-FFF2-40B4-BE49-F238E27FC236}">
              <a16:creationId xmlns:a16="http://schemas.microsoft.com/office/drawing/2014/main" id="{6BF3202F-0E62-4B7D-8E17-CB9A37C4C031}"/>
            </a:ext>
          </a:extLst>
        </xdr:cNvPr>
        <xdr:cNvGrpSpPr/>
      </xdr:nvGrpSpPr>
      <xdr:grpSpPr>
        <a:xfrm>
          <a:off x="506730" y="10203180"/>
          <a:ext cx="904875" cy="723900"/>
          <a:chOff x="12771120" y="8145780"/>
          <a:chExt cx="906780" cy="739140"/>
        </a:xfrm>
      </xdr:grpSpPr>
      <xdr:pic macro="[0]!Top_of_page">
        <xdr:nvPicPr>
          <xdr:cNvPr id="32" name="Picture 31">
            <a:extLst>
              <a:ext uri="{FF2B5EF4-FFF2-40B4-BE49-F238E27FC236}">
                <a16:creationId xmlns:a16="http://schemas.microsoft.com/office/drawing/2014/main" id="{77625D4E-F1A1-08C3-F0E8-AF52BACA092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3" name="TextBox 32">
            <a:extLst>
              <a:ext uri="{FF2B5EF4-FFF2-40B4-BE49-F238E27FC236}">
                <a16:creationId xmlns:a16="http://schemas.microsoft.com/office/drawing/2014/main" id="{129CB4DD-AD68-544A-4835-33540FB555A0}"/>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542925</xdr:colOff>
      <xdr:row>132</xdr:row>
      <xdr:rowOff>66675</xdr:rowOff>
    </xdr:from>
    <xdr:to>
      <xdr:col>0</xdr:col>
      <xdr:colOff>1449705</xdr:colOff>
      <xdr:row>137</xdr:row>
      <xdr:rowOff>81915</xdr:rowOff>
    </xdr:to>
    <xdr:grpSp>
      <xdr:nvGrpSpPr>
        <xdr:cNvPr id="34" name="Group 33">
          <a:extLst>
            <a:ext uri="{FF2B5EF4-FFF2-40B4-BE49-F238E27FC236}">
              <a16:creationId xmlns:a16="http://schemas.microsoft.com/office/drawing/2014/main" id="{D50CA5A4-19AB-434E-A4C2-07DF55F65102}"/>
            </a:ext>
          </a:extLst>
        </xdr:cNvPr>
        <xdr:cNvGrpSpPr/>
      </xdr:nvGrpSpPr>
      <xdr:grpSpPr>
        <a:xfrm>
          <a:off x="544830" y="21219795"/>
          <a:ext cx="904875" cy="733425"/>
          <a:chOff x="12771120" y="8145780"/>
          <a:chExt cx="906780" cy="739140"/>
        </a:xfrm>
      </xdr:grpSpPr>
      <xdr:pic macro="[0]!Top_of_page">
        <xdr:nvPicPr>
          <xdr:cNvPr id="35" name="Picture 34">
            <a:extLst>
              <a:ext uri="{FF2B5EF4-FFF2-40B4-BE49-F238E27FC236}">
                <a16:creationId xmlns:a16="http://schemas.microsoft.com/office/drawing/2014/main" id="{893BCDE6-56DE-017D-E3E6-EF602CBA018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6" name="TextBox 35">
            <a:extLst>
              <a:ext uri="{FF2B5EF4-FFF2-40B4-BE49-F238E27FC236}">
                <a16:creationId xmlns:a16="http://schemas.microsoft.com/office/drawing/2014/main" id="{B69DE538-F3F1-715F-CB12-809FFA952E72}"/>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504825</xdr:colOff>
      <xdr:row>181</xdr:row>
      <xdr:rowOff>133350</xdr:rowOff>
    </xdr:from>
    <xdr:to>
      <xdr:col>0</xdr:col>
      <xdr:colOff>1411605</xdr:colOff>
      <xdr:row>187</xdr:row>
      <xdr:rowOff>5715</xdr:rowOff>
    </xdr:to>
    <xdr:grpSp>
      <xdr:nvGrpSpPr>
        <xdr:cNvPr id="37" name="Group 36">
          <a:extLst>
            <a:ext uri="{FF2B5EF4-FFF2-40B4-BE49-F238E27FC236}">
              <a16:creationId xmlns:a16="http://schemas.microsoft.com/office/drawing/2014/main" id="{5ADF39DC-CA51-40C9-8591-C505ADA89CE2}"/>
            </a:ext>
          </a:extLst>
        </xdr:cNvPr>
        <xdr:cNvGrpSpPr/>
      </xdr:nvGrpSpPr>
      <xdr:grpSpPr>
        <a:xfrm>
          <a:off x="506730" y="28371165"/>
          <a:ext cx="904875" cy="735330"/>
          <a:chOff x="12771120" y="8145780"/>
          <a:chExt cx="906780" cy="739140"/>
        </a:xfrm>
      </xdr:grpSpPr>
      <xdr:pic macro="[0]!Top_of_page">
        <xdr:nvPicPr>
          <xdr:cNvPr id="38" name="Picture 37">
            <a:extLst>
              <a:ext uri="{FF2B5EF4-FFF2-40B4-BE49-F238E27FC236}">
                <a16:creationId xmlns:a16="http://schemas.microsoft.com/office/drawing/2014/main" id="{BE903F43-73CB-3DFB-6561-58D10C6CAE5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9" name="TextBox 38">
            <a:extLst>
              <a:ext uri="{FF2B5EF4-FFF2-40B4-BE49-F238E27FC236}">
                <a16:creationId xmlns:a16="http://schemas.microsoft.com/office/drawing/2014/main" id="{BF49C70F-35C5-87D1-9EEE-68679F7D312F}"/>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1457325</xdr:colOff>
      <xdr:row>183</xdr:row>
      <xdr:rowOff>0</xdr:rowOff>
    </xdr:from>
    <xdr:to>
      <xdr:col>1</xdr:col>
      <xdr:colOff>1591449</xdr:colOff>
      <xdr:row>183</xdr:row>
      <xdr:rowOff>134124</xdr:rowOff>
    </xdr:to>
    <xdr:pic>
      <xdr:nvPicPr>
        <xdr:cNvPr id="40" name="Picture 39">
          <a:extLst>
            <a:ext uri="{FF2B5EF4-FFF2-40B4-BE49-F238E27FC236}">
              <a16:creationId xmlns:a16="http://schemas.microsoft.com/office/drawing/2014/main" id="{794C823D-27A3-4F0D-8D79-872E8A78659F}"/>
            </a:ext>
          </a:extLst>
        </xdr:cNvPr>
        <xdr:cNvPicPr>
          <a:picLocks noChangeAspect="1"/>
        </xdr:cNvPicPr>
      </xdr:nvPicPr>
      <xdr:blipFill>
        <a:blip xmlns:r="http://schemas.openxmlformats.org/officeDocument/2006/relationships" r:embed="rId18"/>
        <a:stretch>
          <a:fillRect/>
        </a:stretch>
      </xdr:blipFill>
      <xdr:spPr>
        <a:xfrm>
          <a:off x="3505200" y="28689300"/>
          <a:ext cx="134124" cy="134124"/>
        </a:xfrm>
        <a:prstGeom prst="rect">
          <a:avLst/>
        </a:prstGeom>
      </xdr:spPr>
    </xdr:pic>
    <xdr:clientData/>
  </xdr:twoCellAnchor>
  <xdr:twoCellAnchor>
    <xdr:from>
      <xdr:col>6</xdr:col>
      <xdr:colOff>1009650</xdr:colOff>
      <xdr:row>2</xdr:row>
      <xdr:rowOff>0</xdr:rowOff>
    </xdr:from>
    <xdr:to>
      <xdr:col>8</xdr:col>
      <xdr:colOff>323850</xdr:colOff>
      <xdr:row>3</xdr:row>
      <xdr:rowOff>171450</xdr:rowOff>
    </xdr:to>
    <xdr:sp macro="" textlink="">
      <xdr:nvSpPr>
        <xdr:cNvPr id="41" name="Rectangle: Rounded Corners 40" descr="ee03ab9c-5e7c-4328-9db4-0c69115286c9">
          <a:hlinkClick xmlns:r="http://schemas.openxmlformats.org/officeDocument/2006/relationships" r:id="rId19"/>
          <a:extLst>
            <a:ext uri="{FF2B5EF4-FFF2-40B4-BE49-F238E27FC236}">
              <a16:creationId xmlns:a16="http://schemas.microsoft.com/office/drawing/2014/main" id="{5535E682-26FF-431D-9272-04C599010062}"/>
            </a:ext>
          </a:extLst>
        </xdr:cNvPr>
        <xdr:cNvSpPr/>
      </xdr:nvSpPr>
      <xdr:spPr>
        <a:xfrm>
          <a:off x="12782550" y="1971675"/>
          <a:ext cx="2076450" cy="314325"/>
        </a:xfrm>
        <a:prstGeom prst="roundRect">
          <a:avLst/>
        </a:prstGeom>
        <a:solidFill>
          <a:schemeClr val="bg1">
            <a:lumMod val="85000"/>
          </a:schemeClr>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Sensitivity </a:t>
          </a:r>
          <a:endParaRPr lang="en-BE" sz="1400" b="1"/>
        </a:p>
      </xdr:txBody>
    </xdr:sp>
    <xdr:clientData/>
  </xdr:twoCellAnchor>
  <xdr:twoCellAnchor editAs="absolute">
    <xdr:from>
      <xdr:col>0</xdr:col>
      <xdr:colOff>933450</xdr:colOff>
      <xdr:row>4</xdr:row>
      <xdr:rowOff>133350</xdr:rowOff>
    </xdr:from>
    <xdr:to>
      <xdr:col>0</xdr:col>
      <xdr:colOff>1543050</xdr:colOff>
      <xdr:row>8</xdr:row>
      <xdr:rowOff>215265</xdr:rowOff>
    </xdr:to>
    <xdr:grpSp>
      <xdr:nvGrpSpPr>
        <xdr:cNvPr id="42" name="Group 41">
          <a:extLst>
            <a:ext uri="{FF2B5EF4-FFF2-40B4-BE49-F238E27FC236}">
              <a16:creationId xmlns:a16="http://schemas.microsoft.com/office/drawing/2014/main" id="{775CE007-9ADF-4973-855E-05463BED5F20}"/>
            </a:ext>
          </a:extLst>
        </xdr:cNvPr>
        <xdr:cNvGrpSpPr/>
      </xdr:nvGrpSpPr>
      <xdr:grpSpPr>
        <a:xfrm>
          <a:off x="929640" y="2491740"/>
          <a:ext cx="609600" cy="653415"/>
          <a:chOff x="13464540" y="68580"/>
          <a:chExt cx="609600" cy="662940"/>
        </a:xfrm>
      </xdr:grpSpPr>
      <xdr:pic macro="[0]!Next_worksheet">
        <xdr:nvPicPr>
          <xdr:cNvPr id="43" name="Picture 42">
            <a:extLst>
              <a:ext uri="{FF2B5EF4-FFF2-40B4-BE49-F238E27FC236}">
                <a16:creationId xmlns:a16="http://schemas.microsoft.com/office/drawing/2014/main" id="{7AD14AFB-8041-C281-8C5D-B48107D26D8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44" name="TextBox 43">
            <a:extLst>
              <a:ext uri="{FF2B5EF4-FFF2-40B4-BE49-F238E27FC236}">
                <a16:creationId xmlns:a16="http://schemas.microsoft.com/office/drawing/2014/main" id="{602C01CC-9862-2C37-9C3C-9CE3BCC3D50F}"/>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oneCell">
    <xdr:from>
      <xdr:col>0</xdr:col>
      <xdr:colOff>552450</xdr:colOff>
      <xdr:row>197</xdr:row>
      <xdr:rowOff>0</xdr:rowOff>
    </xdr:from>
    <xdr:to>
      <xdr:col>0</xdr:col>
      <xdr:colOff>1459230</xdr:colOff>
      <xdr:row>202</xdr:row>
      <xdr:rowOff>15240</xdr:rowOff>
    </xdr:to>
    <xdr:grpSp>
      <xdr:nvGrpSpPr>
        <xdr:cNvPr id="45" name="Group 44">
          <a:extLst>
            <a:ext uri="{FF2B5EF4-FFF2-40B4-BE49-F238E27FC236}">
              <a16:creationId xmlns:a16="http://schemas.microsoft.com/office/drawing/2014/main" id="{2F6BFA60-EC84-42F0-917E-173950BC15F5}"/>
            </a:ext>
          </a:extLst>
        </xdr:cNvPr>
        <xdr:cNvGrpSpPr/>
      </xdr:nvGrpSpPr>
      <xdr:grpSpPr>
        <a:xfrm>
          <a:off x="548640" y="30527625"/>
          <a:ext cx="914400" cy="733425"/>
          <a:chOff x="12771120" y="8145780"/>
          <a:chExt cx="906780" cy="739140"/>
        </a:xfrm>
      </xdr:grpSpPr>
      <xdr:pic macro="[0]!Top_of_page">
        <xdr:nvPicPr>
          <xdr:cNvPr id="46" name="Picture 45">
            <a:extLst>
              <a:ext uri="{FF2B5EF4-FFF2-40B4-BE49-F238E27FC236}">
                <a16:creationId xmlns:a16="http://schemas.microsoft.com/office/drawing/2014/main" id="{F045C5C7-6951-3E46-0131-52F8254A83A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47" name="TextBox 46">
            <a:extLst>
              <a:ext uri="{FF2B5EF4-FFF2-40B4-BE49-F238E27FC236}">
                <a16:creationId xmlns:a16="http://schemas.microsoft.com/office/drawing/2014/main" id="{2F9FACBB-7804-B444-F42B-37C526657ABB}"/>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552450</xdr:colOff>
      <xdr:row>208</xdr:row>
      <xdr:rowOff>85725</xdr:rowOff>
    </xdr:from>
    <xdr:to>
      <xdr:col>0</xdr:col>
      <xdr:colOff>1459230</xdr:colOff>
      <xdr:row>213</xdr:row>
      <xdr:rowOff>100965</xdr:rowOff>
    </xdr:to>
    <xdr:grpSp>
      <xdr:nvGrpSpPr>
        <xdr:cNvPr id="48" name="Group 47">
          <a:extLst>
            <a:ext uri="{FF2B5EF4-FFF2-40B4-BE49-F238E27FC236}">
              <a16:creationId xmlns:a16="http://schemas.microsoft.com/office/drawing/2014/main" id="{230B22B6-9D0A-4A70-A835-47FB4A8F4FCA}"/>
            </a:ext>
          </a:extLst>
        </xdr:cNvPr>
        <xdr:cNvGrpSpPr/>
      </xdr:nvGrpSpPr>
      <xdr:grpSpPr>
        <a:xfrm>
          <a:off x="548640" y="32186880"/>
          <a:ext cx="914400" cy="723900"/>
          <a:chOff x="12771120" y="8145780"/>
          <a:chExt cx="906780" cy="739140"/>
        </a:xfrm>
      </xdr:grpSpPr>
      <xdr:pic macro="[0]!Top_of_page">
        <xdr:nvPicPr>
          <xdr:cNvPr id="49" name="Picture 48">
            <a:extLst>
              <a:ext uri="{FF2B5EF4-FFF2-40B4-BE49-F238E27FC236}">
                <a16:creationId xmlns:a16="http://schemas.microsoft.com/office/drawing/2014/main" id="{EF328FE8-60AB-9CEF-04BC-67F43BB5555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50" name="TextBox 49">
            <a:extLst>
              <a:ext uri="{FF2B5EF4-FFF2-40B4-BE49-F238E27FC236}">
                <a16:creationId xmlns:a16="http://schemas.microsoft.com/office/drawing/2014/main" id="{57DCBED3-A2C1-504E-6950-D82BB22C5DD2}"/>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2247900</xdr:colOff>
      <xdr:row>194</xdr:row>
      <xdr:rowOff>0</xdr:rowOff>
    </xdr:from>
    <xdr:to>
      <xdr:col>1</xdr:col>
      <xdr:colOff>2382024</xdr:colOff>
      <xdr:row>194</xdr:row>
      <xdr:rowOff>134124</xdr:rowOff>
    </xdr:to>
    <xdr:pic>
      <xdr:nvPicPr>
        <xdr:cNvPr id="51" name="Picture 50">
          <a:extLst>
            <a:ext uri="{FF2B5EF4-FFF2-40B4-BE49-F238E27FC236}">
              <a16:creationId xmlns:a16="http://schemas.microsoft.com/office/drawing/2014/main" id="{BC30D959-EA4B-4D19-ACB6-927A4D324A57}"/>
            </a:ext>
          </a:extLst>
        </xdr:cNvPr>
        <xdr:cNvPicPr>
          <a:picLocks noChangeAspect="1"/>
        </xdr:cNvPicPr>
      </xdr:nvPicPr>
      <xdr:blipFill>
        <a:blip xmlns:r="http://schemas.openxmlformats.org/officeDocument/2006/relationships" r:embed="rId18"/>
        <a:stretch>
          <a:fillRect/>
        </a:stretch>
      </xdr:blipFill>
      <xdr:spPr>
        <a:xfrm>
          <a:off x="4295775" y="30260925"/>
          <a:ext cx="134124" cy="134124"/>
        </a:xfrm>
        <a:prstGeom prst="rect">
          <a:avLst/>
        </a:prstGeom>
      </xdr:spPr>
    </xdr:pic>
    <xdr:clientData/>
  </xdr:twoCellAnchor>
  <xdr:twoCellAnchor editAs="oneCell">
    <xdr:from>
      <xdr:col>2</xdr:col>
      <xdr:colOff>1257300</xdr:colOff>
      <xdr:row>205</xdr:row>
      <xdr:rowOff>133350</xdr:rowOff>
    </xdr:from>
    <xdr:to>
      <xdr:col>2</xdr:col>
      <xdr:colOff>1391424</xdr:colOff>
      <xdr:row>206</xdr:row>
      <xdr:rowOff>124599</xdr:rowOff>
    </xdr:to>
    <xdr:pic>
      <xdr:nvPicPr>
        <xdr:cNvPr id="52" name="Picture 51">
          <a:extLst>
            <a:ext uri="{FF2B5EF4-FFF2-40B4-BE49-F238E27FC236}">
              <a16:creationId xmlns:a16="http://schemas.microsoft.com/office/drawing/2014/main" id="{FC39113D-BC14-4C49-826E-FA161B09FD73}"/>
            </a:ext>
          </a:extLst>
        </xdr:cNvPr>
        <xdr:cNvPicPr>
          <a:picLocks noChangeAspect="1"/>
        </xdr:cNvPicPr>
      </xdr:nvPicPr>
      <xdr:blipFill>
        <a:blip xmlns:r="http://schemas.openxmlformats.org/officeDocument/2006/relationships" r:embed="rId18"/>
        <a:stretch>
          <a:fillRect/>
        </a:stretch>
      </xdr:blipFill>
      <xdr:spPr>
        <a:xfrm>
          <a:off x="6019800" y="31965900"/>
          <a:ext cx="134124" cy="1341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215265</xdr:colOff>
      <xdr:row>0</xdr:row>
      <xdr:rowOff>102870</xdr:rowOff>
    </xdr:from>
    <xdr:to>
      <xdr:col>9</xdr:col>
      <xdr:colOff>296545</xdr:colOff>
      <xdr:row>0</xdr:row>
      <xdr:rowOff>1782657</xdr:rowOff>
    </xdr:to>
    <xdr:grpSp>
      <xdr:nvGrpSpPr>
        <xdr:cNvPr id="66" name="Group 65">
          <a:extLst>
            <a:ext uri="{FF2B5EF4-FFF2-40B4-BE49-F238E27FC236}">
              <a16:creationId xmlns:a16="http://schemas.microsoft.com/office/drawing/2014/main" id="{DB0A4847-3A72-4369-8515-68F91FF13CDD}"/>
            </a:ext>
          </a:extLst>
        </xdr:cNvPr>
        <xdr:cNvGrpSpPr/>
      </xdr:nvGrpSpPr>
      <xdr:grpSpPr>
        <a:xfrm>
          <a:off x="211455" y="100965"/>
          <a:ext cx="16447135" cy="1679787"/>
          <a:chOff x="171450" y="91441"/>
          <a:chExt cx="16462375" cy="1683597"/>
        </a:xfrm>
      </xdr:grpSpPr>
      <xdr:pic>
        <xdr:nvPicPr>
          <xdr:cNvPr id="67" name="Picture 66">
            <a:extLst>
              <a:ext uri="{FF2B5EF4-FFF2-40B4-BE49-F238E27FC236}">
                <a16:creationId xmlns:a16="http://schemas.microsoft.com/office/drawing/2014/main" id="{D5AD93F8-D431-427A-B301-7AE2438CFA25}"/>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68" name="Group 67">
            <a:extLst>
              <a:ext uri="{FF2B5EF4-FFF2-40B4-BE49-F238E27FC236}">
                <a16:creationId xmlns:a16="http://schemas.microsoft.com/office/drawing/2014/main" id="{6CAF799A-8B0F-484C-BBDE-ED23C34B338E}"/>
              </a:ext>
            </a:extLst>
          </xdr:cNvPr>
          <xdr:cNvGrpSpPr/>
        </xdr:nvGrpSpPr>
        <xdr:grpSpPr>
          <a:xfrm>
            <a:off x="167640" y="95251"/>
            <a:ext cx="16462375" cy="1675977"/>
            <a:chOff x="167640" y="95251"/>
            <a:chExt cx="16462375" cy="1675977"/>
          </a:xfrm>
        </xdr:grpSpPr>
        <xdr:grpSp>
          <xdr:nvGrpSpPr>
            <xdr:cNvPr id="69" name="Group 68">
              <a:extLst>
                <a:ext uri="{FF2B5EF4-FFF2-40B4-BE49-F238E27FC236}">
                  <a16:creationId xmlns:a16="http://schemas.microsoft.com/office/drawing/2014/main" id="{4CE25E0B-5184-4906-8E17-0BF81D446F3C}"/>
                </a:ext>
              </a:extLst>
            </xdr:cNvPr>
            <xdr:cNvGrpSpPr/>
          </xdr:nvGrpSpPr>
          <xdr:grpSpPr>
            <a:xfrm>
              <a:off x="171450" y="91441"/>
              <a:ext cx="16462375" cy="1683597"/>
              <a:chOff x="171449" y="38100"/>
              <a:chExt cx="16659225" cy="1704975"/>
            </a:xfrm>
          </xdr:grpSpPr>
          <xdr:grpSp>
            <xdr:nvGrpSpPr>
              <xdr:cNvPr id="71" name="Group 70">
                <a:extLst>
                  <a:ext uri="{FF2B5EF4-FFF2-40B4-BE49-F238E27FC236}">
                    <a16:creationId xmlns:a16="http://schemas.microsoft.com/office/drawing/2014/main" id="{BFB51CE3-29C6-452F-9D5E-21021DBE4A5B}"/>
                  </a:ext>
                </a:extLst>
              </xdr:cNvPr>
              <xdr:cNvGrpSpPr/>
            </xdr:nvGrpSpPr>
            <xdr:grpSpPr>
              <a:xfrm>
                <a:off x="171449" y="38100"/>
                <a:ext cx="16659225" cy="1704975"/>
                <a:chOff x="171449" y="38100"/>
                <a:chExt cx="16659225" cy="1704975"/>
              </a:xfrm>
            </xdr:grpSpPr>
            <xdr:pic>
              <xdr:nvPicPr>
                <xdr:cNvPr id="74" name="Picture 73" descr="catalisti.be">
                  <a:extLst>
                    <a:ext uri="{FF2B5EF4-FFF2-40B4-BE49-F238E27FC236}">
                      <a16:creationId xmlns:a16="http://schemas.microsoft.com/office/drawing/2014/main" id="{086CA08A-F8F3-47B5-A17C-FC4A3468A8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5" name="Rectangle 74">
                  <a:extLst>
                    <a:ext uri="{FF2B5EF4-FFF2-40B4-BE49-F238E27FC236}">
                      <a16:creationId xmlns:a16="http://schemas.microsoft.com/office/drawing/2014/main" id="{546DFA83-F341-4828-9FF1-C8F2B1A442AD}"/>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76" name="Rectangle: Rounded Corners 75">
                  <a:extLst>
                    <a:ext uri="{FF2B5EF4-FFF2-40B4-BE49-F238E27FC236}">
                      <a16:creationId xmlns:a16="http://schemas.microsoft.com/office/drawing/2014/main" id="{0A605EFB-EB63-47A4-B188-0A157B4736C0}"/>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77" name="Picture 76">
                  <a:extLst>
                    <a:ext uri="{FF2B5EF4-FFF2-40B4-BE49-F238E27FC236}">
                      <a16:creationId xmlns:a16="http://schemas.microsoft.com/office/drawing/2014/main" id="{9E17B3F5-7595-4478-B725-79756CB667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78" name="Picture 77">
                  <a:extLst>
                    <a:ext uri="{FF2B5EF4-FFF2-40B4-BE49-F238E27FC236}">
                      <a16:creationId xmlns:a16="http://schemas.microsoft.com/office/drawing/2014/main" id="{B553DE73-CF3D-4DBA-9684-3E819E971DD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79" name="Picture 78">
                  <a:extLst>
                    <a:ext uri="{FF2B5EF4-FFF2-40B4-BE49-F238E27FC236}">
                      <a16:creationId xmlns:a16="http://schemas.microsoft.com/office/drawing/2014/main" id="{A17A89DC-7FEC-42E1-A143-0AE18C1830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80" name="Picture 79">
                  <a:extLst>
                    <a:ext uri="{FF2B5EF4-FFF2-40B4-BE49-F238E27FC236}">
                      <a16:creationId xmlns:a16="http://schemas.microsoft.com/office/drawing/2014/main" id="{562884C2-580E-4EA6-8401-A425E433F762}"/>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72" name="Picture 71">
                <a:extLst>
                  <a:ext uri="{FF2B5EF4-FFF2-40B4-BE49-F238E27FC236}">
                    <a16:creationId xmlns:a16="http://schemas.microsoft.com/office/drawing/2014/main" id="{4491CF21-5AF4-40CF-9A7C-9E01FC96640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73" name="TextBox 72">
                <a:extLst>
                  <a:ext uri="{FF2B5EF4-FFF2-40B4-BE49-F238E27FC236}">
                    <a16:creationId xmlns:a16="http://schemas.microsoft.com/office/drawing/2014/main" id="{B977C293-AE2B-4E12-B98D-790AB19AE89D}"/>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70" name="Picture 69">
              <a:extLst>
                <a:ext uri="{FF2B5EF4-FFF2-40B4-BE49-F238E27FC236}">
                  <a16:creationId xmlns:a16="http://schemas.microsoft.com/office/drawing/2014/main" id="{C8D64063-8E5B-4A52-B28E-925CA3676B6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352425</xdr:colOff>
      <xdr:row>4</xdr:row>
      <xdr:rowOff>114300</xdr:rowOff>
    </xdr:from>
    <xdr:to>
      <xdr:col>0</xdr:col>
      <xdr:colOff>962025</xdr:colOff>
      <xdr:row>8</xdr:row>
      <xdr:rowOff>215265</xdr:rowOff>
    </xdr:to>
    <xdr:grpSp>
      <xdr:nvGrpSpPr>
        <xdr:cNvPr id="16" name="Group 15">
          <a:extLst>
            <a:ext uri="{FF2B5EF4-FFF2-40B4-BE49-F238E27FC236}">
              <a16:creationId xmlns:a16="http://schemas.microsoft.com/office/drawing/2014/main" id="{60C139E6-9034-49A6-8944-7664CA5C8299}"/>
            </a:ext>
          </a:extLst>
        </xdr:cNvPr>
        <xdr:cNvGrpSpPr/>
      </xdr:nvGrpSpPr>
      <xdr:grpSpPr>
        <a:xfrm>
          <a:off x="354330" y="2476500"/>
          <a:ext cx="609600" cy="668655"/>
          <a:chOff x="12801600" y="129540"/>
          <a:chExt cx="609600" cy="685800"/>
        </a:xfrm>
      </xdr:grpSpPr>
      <xdr:pic macro="[0]!Previous_worksheet">
        <xdr:nvPicPr>
          <xdr:cNvPr id="17" name="Picture 16">
            <a:extLst>
              <a:ext uri="{FF2B5EF4-FFF2-40B4-BE49-F238E27FC236}">
                <a16:creationId xmlns:a16="http://schemas.microsoft.com/office/drawing/2014/main" id="{55F18E54-F83C-A66B-5ADC-BEDBE69CF32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8" name="TextBox 17">
            <a:extLst>
              <a:ext uri="{FF2B5EF4-FFF2-40B4-BE49-F238E27FC236}">
                <a16:creationId xmlns:a16="http://schemas.microsoft.com/office/drawing/2014/main" id="{F26E8BAF-44A5-A833-FA06-6956EA5FB9DC}"/>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180975</xdr:colOff>
      <xdr:row>8</xdr:row>
      <xdr:rowOff>485775</xdr:rowOff>
    </xdr:from>
    <xdr:to>
      <xdr:col>0</xdr:col>
      <xdr:colOff>1876425</xdr:colOff>
      <xdr:row>10</xdr:row>
      <xdr:rowOff>110490</xdr:rowOff>
    </xdr:to>
    <xdr:sp macro="" textlink="">
      <xdr:nvSpPr>
        <xdr:cNvPr id="19" name="Rounded Rectangle 7" descr="a4461fd3-ee10-4e25-a8c9-24250bb7ff54">
          <a:hlinkClick xmlns:r="http://schemas.openxmlformats.org/officeDocument/2006/relationships" r:id="rId10"/>
          <a:extLst>
            <a:ext uri="{FF2B5EF4-FFF2-40B4-BE49-F238E27FC236}">
              <a16:creationId xmlns:a16="http://schemas.microsoft.com/office/drawing/2014/main" id="{00380893-E2D8-43E8-B385-AD8B25CAFEB9}"/>
            </a:ext>
          </a:extLst>
        </xdr:cNvPr>
        <xdr:cNvSpPr/>
      </xdr:nvSpPr>
      <xdr:spPr>
        <a:xfrm>
          <a:off x="180975" y="3419475"/>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Technical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11</xdr:row>
      <xdr:rowOff>76200</xdr:rowOff>
    </xdr:from>
    <xdr:to>
      <xdr:col>0</xdr:col>
      <xdr:colOff>1866900</xdr:colOff>
      <xdr:row>13</xdr:row>
      <xdr:rowOff>129540</xdr:rowOff>
    </xdr:to>
    <xdr:sp macro="" textlink="">
      <xdr:nvSpPr>
        <xdr:cNvPr id="20" name="Rounded Rectangle 7" descr="facce393-8bde-48e2-af95-2cd0cce906a7">
          <a:hlinkClick xmlns:r="http://schemas.openxmlformats.org/officeDocument/2006/relationships" r:id="rId11"/>
          <a:extLst>
            <a:ext uri="{FF2B5EF4-FFF2-40B4-BE49-F238E27FC236}">
              <a16:creationId xmlns:a16="http://schemas.microsoft.com/office/drawing/2014/main" id="{B51EFA56-92D0-4629-B4E0-F710FF085064}"/>
            </a:ext>
          </a:extLst>
        </xdr:cNvPr>
        <xdr:cNvSpPr/>
      </xdr:nvSpPr>
      <xdr:spPr>
        <a:xfrm>
          <a:off x="171450" y="386715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Economic</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14</xdr:row>
      <xdr:rowOff>85725</xdr:rowOff>
    </xdr:from>
    <xdr:to>
      <xdr:col>0</xdr:col>
      <xdr:colOff>1866900</xdr:colOff>
      <xdr:row>16</xdr:row>
      <xdr:rowOff>91440</xdr:rowOff>
    </xdr:to>
    <xdr:sp macro="" textlink="">
      <xdr:nvSpPr>
        <xdr:cNvPr id="21" name="Rounded Rectangle 7" descr="842f6373-c4b6-460f-ba8e-ec4afaa41c9f">
          <a:hlinkClick xmlns:r="http://schemas.openxmlformats.org/officeDocument/2006/relationships" r:id="rId12"/>
          <a:extLst>
            <a:ext uri="{FF2B5EF4-FFF2-40B4-BE49-F238E27FC236}">
              <a16:creationId xmlns:a16="http://schemas.microsoft.com/office/drawing/2014/main" id="{DE6FAB34-ACCF-4D20-BD07-4CE61DC618BD}"/>
            </a:ext>
          </a:extLst>
        </xdr:cNvPr>
        <xdr:cNvSpPr/>
      </xdr:nvSpPr>
      <xdr:spPr>
        <a:xfrm>
          <a:off x="171450" y="430530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Environmental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542925</xdr:colOff>
      <xdr:row>2</xdr:row>
      <xdr:rowOff>28575</xdr:rowOff>
    </xdr:from>
    <xdr:to>
      <xdr:col>0</xdr:col>
      <xdr:colOff>1464945</xdr:colOff>
      <xdr:row>3</xdr:row>
      <xdr:rowOff>215265</xdr:rowOff>
    </xdr:to>
    <xdr:sp macro="" textlink="">
      <xdr:nvSpPr>
        <xdr:cNvPr id="22" name="Rounded Rectangle 25" descr="01729492-20e6-4829-8e64-dfa665c2a982">
          <a:hlinkClick xmlns:r="http://schemas.openxmlformats.org/officeDocument/2006/relationships" r:id="rId13"/>
          <a:extLst>
            <a:ext uri="{FF2B5EF4-FFF2-40B4-BE49-F238E27FC236}">
              <a16:creationId xmlns:a16="http://schemas.microsoft.com/office/drawing/2014/main" id="{48918288-1695-4B9C-88F0-8B2663B9FF66}"/>
            </a:ext>
          </a:extLst>
        </xdr:cNvPr>
        <xdr:cNvSpPr/>
      </xdr:nvSpPr>
      <xdr:spPr>
        <a:xfrm>
          <a:off x="542925" y="2000250"/>
          <a:ext cx="922020"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Summary</a:t>
          </a:r>
        </a:p>
      </xdr:txBody>
    </xdr:sp>
    <xdr:clientData/>
  </xdr:twoCellAnchor>
  <xdr:twoCellAnchor editAs="oneCell">
    <xdr:from>
      <xdr:col>2</xdr:col>
      <xdr:colOff>485775</xdr:colOff>
      <xdr:row>3</xdr:row>
      <xdr:rowOff>19050</xdr:rowOff>
    </xdr:from>
    <xdr:to>
      <xdr:col>2</xdr:col>
      <xdr:colOff>693057</xdr:colOff>
      <xdr:row>3</xdr:row>
      <xdr:rowOff>220235</xdr:rowOff>
    </xdr:to>
    <xdr:pic>
      <xdr:nvPicPr>
        <xdr:cNvPr id="23" name="Picture 22">
          <a:extLst>
            <a:ext uri="{FF2B5EF4-FFF2-40B4-BE49-F238E27FC236}">
              <a16:creationId xmlns:a16="http://schemas.microsoft.com/office/drawing/2014/main" id="{861866C0-9921-410A-A633-2680944CDBC7}"/>
            </a:ext>
          </a:extLst>
        </xdr:cNvPr>
        <xdr:cNvPicPr>
          <a:picLocks noChangeAspect="1"/>
        </xdr:cNvPicPr>
      </xdr:nvPicPr>
      <xdr:blipFill>
        <a:blip xmlns:r="http://schemas.openxmlformats.org/officeDocument/2006/relationships" r:embed="rId14"/>
        <a:stretch>
          <a:fillRect/>
        </a:stretch>
      </xdr:blipFill>
      <xdr:spPr>
        <a:xfrm>
          <a:off x="5248275" y="2133600"/>
          <a:ext cx="207282" cy="201185"/>
        </a:xfrm>
        <a:prstGeom prst="rect">
          <a:avLst/>
        </a:prstGeom>
      </xdr:spPr>
    </xdr:pic>
    <xdr:clientData/>
  </xdr:twoCellAnchor>
  <xdr:twoCellAnchor>
    <xdr:from>
      <xdr:col>3</xdr:col>
      <xdr:colOff>0</xdr:colOff>
      <xdr:row>2</xdr:row>
      <xdr:rowOff>0</xdr:rowOff>
    </xdr:from>
    <xdr:to>
      <xdr:col>3</xdr:col>
      <xdr:colOff>2076450</xdr:colOff>
      <xdr:row>3</xdr:row>
      <xdr:rowOff>171450</xdr:rowOff>
    </xdr:to>
    <xdr:sp macro="" textlink="">
      <xdr:nvSpPr>
        <xdr:cNvPr id="24" name="Rectangle: Rounded Corners 23" descr="f13e694d-75c5-4207-bf07-ddd0ba96aebc">
          <a:hlinkClick xmlns:r="http://schemas.openxmlformats.org/officeDocument/2006/relationships" r:id="rId15"/>
          <a:extLst>
            <a:ext uri="{FF2B5EF4-FFF2-40B4-BE49-F238E27FC236}">
              <a16:creationId xmlns:a16="http://schemas.microsoft.com/office/drawing/2014/main" id="{EEBFBF7D-945D-4FFD-87F4-ABBC78449DF3}"/>
            </a:ext>
          </a:extLst>
        </xdr:cNvPr>
        <xdr:cNvSpPr/>
      </xdr:nvSpPr>
      <xdr:spPr>
        <a:xfrm>
          <a:off x="6296025" y="1971675"/>
          <a:ext cx="2076450" cy="314325"/>
        </a:xfrm>
        <a:prstGeom prst="roundRect">
          <a:avLst/>
        </a:prstGeom>
        <a:solidFill>
          <a:schemeClr val="accent1">
            <a:lumMod val="60000"/>
            <a:lumOff val="40000"/>
          </a:schemeClr>
        </a:solidFill>
        <a:ln>
          <a:solidFill>
            <a:schemeClr val="accent1">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Technical </a:t>
          </a:r>
          <a:endParaRPr lang="en-BE" sz="1400" b="1"/>
        </a:p>
      </xdr:txBody>
    </xdr:sp>
    <xdr:clientData/>
  </xdr:twoCellAnchor>
  <xdr:twoCellAnchor>
    <xdr:from>
      <xdr:col>3</xdr:col>
      <xdr:colOff>2171700</xdr:colOff>
      <xdr:row>2</xdr:row>
      <xdr:rowOff>0</xdr:rowOff>
    </xdr:from>
    <xdr:to>
      <xdr:col>5</xdr:col>
      <xdr:colOff>152400</xdr:colOff>
      <xdr:row>3</xdr:row>
      <xdr:rowOff>171450</xdr:rowOff>
    </xdr:to>
    <xdr:sp macro="" textlink="">
      <xdr:nvSpPr>
        <xdr:cNvPr id="25" name="Rectangle: Rounded Corners 24" descr="a3f61add-8a6e-4e81-a809-a56a19ec928f">
          <a:hlinkClick xmlns:r="http://schemas.openxmlformats.org/officeDocument/2006/relationships" r:id="rId16"/>
          <a:extLst>
            <a:ext uri="{FF2B5EF4-FFF2-40B4-BE49-F238E27FC236}">
              <a16:creationId xmlns:a16="http://schemas.microsoft.com/office/drawing/2014/main" id="{C1451C01-380C-4CA8-AB2D-1B64D14867C4}"/>
            </a:ext>
          </a:extLst>
        </xdr:cNvPr>
        <xdr:cNvSpPr/>
      </xdr:nvSpPr>
      <xdr:spPr>
        <a:xfrm>
          <a:off x="8467725" y="1971675"/>
          <a:ext cx="2076450" cy="314325"/>
        </a:xfrm>
        <a:prstGeom prst="roundRect">
          <a:avLst/>
        </a:prstGeom>
        <a:solidFill>
          <a:schemeClr val="accent2">
            <a:lumMod val="60000"/>
            <a:lumOff val="40000"/>
          </a:schemeClr>
        </a:solidFill>
        <a:ln>
          <a:solidFill>
            <a:schemeClr val="accent2">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Economic</a:t>
          </a:r>
          <a:endParaRPr lang="en-BE" sz="1400" b="1"/>
        </a:p>
      </xdr:txBody>
    </xdr:sp>
    <xdr:clientData/>
  </xdr:twoCellAnchor>
  <xdr:twoCellAnchor>
    <xdr:from>
      <xdr:col>5</xdr:col>
      <xdr:colOff>238125</xdr:colOff>
      <xdr:row>2</xdr:row>
      <xdr:rowOff>0</xdr:rowOff>
    </xdr:from>
    <xdr:to>
      <xdr:col>6</xdr:col>
      <xdr:colOff>933450</xdr:colOff>
      <xdr:row>3</xdr:row>
      <xdr:rowOff>171450</xdr:rowOff>
    </xdr:to>
    <xdr:sp macro="" textlink="">
      <xdr:nvSpPr>
        <xdr:cNvPr id="26" name="Rectangle: Rounded Corners 25" descr="c74321de-6fe7-4bd8-ba52-d17e23b27a7d">
          <a:hlinkClick xmlns:r="http://schemas.openxmlformats.org/officeDocument/2006/relationships" r:id="rId17"/>
          <a:extLst>
            <a:ext uri="{FF2B5EF4-FFF2-40B4-BE49-F238E27FC236}">
              <a16:creationId xmlns:a16="http://schemas.microsoft.com/office/drawing/2014/main" id="{ED2C32AE-7EA3-4DED-8E1B-E5560D58F4C1}"/>
            </a:ext>
          </a:extLst>
        </xdr:cNvPr>
        <xdr:cNvSpPr/>
      </xdr:nvSpPr>
      <xdr:spPr>
        <a:xfrm>
          <a:off x="10629900" y="1971675"/>
          <a:ext cx="2076450" cy="314325"/>
        </a:xfrm>
        <a:prstGeom prst="roundRect">
          <a:avLst/>
        </a:prstGeom>
        <a:solidFill>
          <a:srgbClr val="CFD4A0"/>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Environmental </a:t>
          </a:r>
          <a:endParaRPr lang="en-BE" sz="1400" b="1"/>
        </a:p>
      </xdr:txBody>
    </xdr:sp>
    <xdr:clientData/>
  </xdr:twoCellAnchor>
  <xdr:twoCellAnchor editAs="oneCell">
    <xdr:from>
      <xdr:col>1</xdr:col>
      <xdr:colOff>323850</xdr:colOff>
      <xdr:row>5</xdr:row>
      <xdr:rowOff>9525</xdr:rowOff>
    </xdr:from>
    <xdr:to>
      <xdr:col>1</xdr:col>
      <xdr:colOff>461241</xdr:colOff>
      <xdr:row>6</xdr:row>
      <xdr:rowOff>0</xdr:rowOff>
    </xdr:to>
    <xdr:pic>
      <xdr:nvPicPr>
        <xdr:cNvPr id="27" name="Picture 26">
          <a:extLst>
            <a:ext uri="{FF2B5EF4-FFF2-40B4-BE49-F238E27FC236}">
              <a16:creationId xmlns:a16="http://schemas.microsoft.com/office/drawing/2014/main" id="{662EAE1D-BCB0-4B33-8793-E7EB5C2207FF}"/>
            </a:ext>
          </a:extLst>
        </xdr:cNvPr>
        <xdr:cNvPicPr>
          <a:picLocks noChangeAspect="1"/>
        </xdr:cNvPicPr>
      </xdr:nvPicPr>
      <xdr:blipFill>
        <a:blip xmlns:r="http://schemas.openxmlformats.org/officeDocument/2006/relationships" r:embed="rId14"/>
        <a:stretch>
          <a:fillRect/>
        </a:stretch>
      </xdr:blipFill>
      <xdr:spPr>
        <a:xfrm>
          <a:off x="2371725" y="2514600"/>
          <a:ext cx="137391" cy="133350"/>
        </a:xfrm>
        <a:prstGeom prst="rect">
          <a:avLst/>
        </a:prstGeom>
      </xdr:spPr>
    </xdr:pic>
    <xdr:clientData/>
  </xdr:twoCellAnchor>
  <xdr:twoCellAnchor editAs="oneCell">
    <xdr:from>
      <xdr:col>1</xdr:col>
      <xdr:colOff>695325</xdr:colOff>
      <xdr:row>29</xdr:row>
      <xdr:rowOff>0</xdr:rowOff>
    </xdr:from>
    <xdr:to>
      <xdr:col>1</xdr:col>
      <xdr:colOff>832716</xdr:colOff>
      <xdr:row>29</xdr:row>
      <xdr:rowOff>133350</xdr:rowOff>
    </xdr:to>
    <xdr:pic>
      <xdr:nvPicPr>
        <xdr:cNvPr id="28" name="Picture 27">
          <a:extLst>
            <a:ext uri="{FF2B5EF4-FFF2-40B4-BE49-F238E27FC236}">
              <a16:creationId xmlns:a16="http://schemas.microsoft.com/office/drawing/2014/main" id="{51353F74-E6C1-49C4-8A72-3C2CCA6BE1B6}"/>
            </a:ext>
          </a:extLst>
        </xdr:cNvPr>
        <xdr:cNvPicPr>
          <a:picLocks noChangeAspect="1"/>
        </xdr:cNvPicPr>
      </xdr:nvPicPr>
      <xdr:blipFill>
        <a:blip xmlns:r="http://schemas.openxmlformats.org/officeDocument/2006/relationships" r:embed="rId14"/>
        <a:stretch>
          <a:fillRect/>
        </a:stretch>
      </xdr:blipFill>
      <xdr:spPr>
        <a:xfrm>
          <a:off x="2743200" y="6457950"/>
          <a:ext cx="137391" cy="133350"/>
        </a:xfrm>
        <a:prstGeom prst="rect">
          <a:avLst/>
        </a:prstGeom>
      </xdr:spPr>
    </xdr:pic>
    <xdr:clientData/>
  </xdr:twoCellAnchor>
  <xdr:twoCellAnchor editAs="oneCell">
    <xdr:from>
      <xdr:col>1</xdr:col>
      <xdr:colOff>685800</xdr:colOff>
      <xdr:row>77</xdr:row>
      <xdr:rowOff>9525</xdr:rowOff>
    </xdr:from>
    <xdr:to>
      <xdr:col>1</xdr:col>
      <xdr:colOff>823191</xdr:colOff>
      <xdr:row>78</xdr:row>
      <xdr:rowOff>0</xdr:rowOff>
    </xdr:to>
    <xdr:pic>
      <xdr:nvPicPr>
        <xdr:cNvPr id="29" name="Picture 28">
          <a:extLst>
            <a:ext uri="{FF2B5EF4-FFF2-40B4-BE49-F238E27FC236}">
              <a16:creationId xmlns:a16="http://schemas.microsoft.com/office/drawing/2014/main" id="{BAAB0E31-F7CF-4F7E-817C-1FF074479E17}"/>
            </a:ext>
          </a:extLst>
        </xdr:cNvPr>
        <xdr:cNvPicPr>
          <a:picLocks noChangeAspect="1"/>
        </xdr:cNvPicPr>
      </xdr:nvPicPr>
      <xdr:blipFill>
        <a:blip xmlns:r="http://schemas.openxmlformats.org/officeDocument/2006/relationships" r:embed="rId14"/>
        <a:stretch>
          <a:fillRect/>
        </a:stretch>
      </xdr:blipFill>
      <xdr:spPr>
        <a:xfrm>
          <a:off x="2733675" y="13325475"/>
          <a:ext cx="137391" cy="133350"/>
        </a:xfrm>
        <a:prstGeom prst="rect">
          <a:avLst/>
        </a:prstGeom>
      </xdr:spPr>
    </xdr:pic>
    <xdr:clientData/>
  </xdr:twoCellAnchor>
  <xdr:twoCellAnchor editAs="oneCell">
    <xdr:from>
      <xdr:col>1</xdr:col>
      <xdr:colOff>990600</xdr:colOff>
      <xdr:row>144</xdr:row>
      <xdr:rowOff>9525</xdr:rowOff>
    </xdr:from>
    <xdr:to>
      <xdr:col>1</xdr:col>
      <xdr:colOff>1127991</xdr:colOff>
      <xdr:row>145</xdr:row>
      <xdr:rowOff>0</xdr:rowOff>
    </xdr:to>
    <xdr:pic>
      <xdr:nvPicPr>
        <xdr:cNvPr id="30" name="Picture 29">
          <a:extLst>
            <a:ext uri="{FF2B5EF4-FFF2-40B4-BE49-F238E27FC236}">
              <a16:creationId xmlns:a16="http://schemas.microsoft.com/office/drawing/2014/main" id="{F08B8B0C-2AF5-42FF-A703-3F2BC76E98D8}"/>
            </a:ext>
          </a:extLst>
        </xdr:cNvPr>
        <xdr:cNvPicPr>
          <a:picLocks noChangeAspect="1"/>
        </xdr:cNvPicPr>
      </xdr:nvPicPr>
      <xdr:blipFill>
        <a:blip xmlns:r="http://schemas.openxmlformats.org/officeDocument/2006/relationships" r:embed="rId14"/>
        <a:stretch>
          <a:fillRect/>
        </a:stretch>
      </xdr:blipFill>
      <xdr:spPr>
        <a:xfrm>
          <a:off x="3038475" y="22898100"/>
          <a:ext cx="137391" cy="133350"/>
        </a:xfrm>
        <a:prstGeom prst="rect">
          <a:avLst/>
        </a:prstGeom>
      </xdr:spPr>
    </xdr:pic>
    <xdr:clientData/>
  </xdr:twoCellAnchor>
  <xdr:twoCellAnchor editAs="oneCell">
    <xdr:from>
      <xdr:col>0</xdr:col>
      <xdr:colOff>504825</xdr:colOff>
      <xdr:row>55</xdr:row>
      <xdr:rowOff>47625</xdr:rowOff>
    </xdr:from>
    <xdr:to>
      <xdr:col>0</xdr:col>
      <xdr:colOff>1411605</xdr:colOff>
      <xdr:row>60</xdr:row>
      <xdr:rowOff>62865</xdr:rowOff>
    </xdr:to>
    <xdr:grpSp>
      <xdr:nvGrpSpPr>
        <xdr:cNvPr id="31" name="Group 30">
          <a:extLst>
            <a:ext uri="{FF2B5EF4-FFF2-40B4-BE49-F238E27FC236}">
              <a16:creationId xmlns:a16="http://schemas.microsoft.com/office/drawing/2014/main" id="{0473279C-B7FE-4C24-994B-30608F31C71D}"/>
            </a:ext>
          </a:extLst>
        </xdr:cNvPr>
        <xdr:cNvGrpSpPr/>
      </xdr:nvGrpSpPr>
      <xdr:grpSpPr>
        <a:xfrm>
          <a:off x="506730" y="10203180"/>
          <a:ext cx="904875" cy="723900"/>
          <a:chOff x="12771120" y="8145780"/>
          <a:chExt cx="906780" cy="739140"/>
        </a:xfrm>
      </xdr:grpSpPr>
      <xdr:pic macro="[0]!Top_of_page">
        <xdr:nvPicPr>
          <xdr:cNvPr id="32" name="Picture 31">
            <a:extLst>
              <a:ext uri="{FF2B5EF4-FFF2-40B4-BE49-F238E27FC236}">
                <a16:creationId xmlns:a16="http://schemas.microsoft.com/office/drawing/2014/main" id="{894B41EA-8BBE-AE96-CDBC-305F34F4425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3" name="TextBox 32">
            <a:extLst>
              <a:ext uri="{FF2B5EF4-FFF2-40B4-BE49-F238E27FC236}">
                <a16:creationId xmlns:a16="http://schemas.microsoft.com/office/drawing/2014/main" id="{D327279C-FBC5-53F3-09D5-8875CDF92A18}"/>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542925</xdr:colOff>
      <xdr:row>132</xdr:row>
      <xdr:rowOff>66675</xdr:rowOff>
    </xdr:from>
    <xdr:to>
      <xdr:col>0</xdr:col>
      <xdr:colOff>1449705</xdr:colOff>
      <xdr:row>137</xdr:row>
      <xdr:rowOff>81915</xdr:rowOff>
    </xdr:to>
    <xdr:grpSp>
      <xdr:nvGrpSpPr>
        <xdr:cNvPr id="34" name="Group 33">
          <a:extLst>
            <a:ext uri="{FF2B5EF4-FFF2-40B4-BE49-F238E27FC236}">
              <a16:creationId xmlns:a16="http://schemas.microsoft.com/office/drawing/2014/main" id="{69942798-D800-400B-BB23-1A38DA6098BA}"/>
            </a:ext>
          </a:extLst>
        </xdr:cNvPr>
        <xdr:cNvGrpSpPr/>
      </xdr:nvGrpSpPr>
      <xdr:grpSpPr>
        <a:xfrm>
          <a:off x="544830" y="21219795"/>
          <a:ext cx="904875" cy="733425"/>
          <a:chOff x="12771120" y="8145780"/>
          <a:chExt cx="906780" cy="739140"/>
        </a:xfrm>
      </xdr:grpSpPr>
      <xdr:pic macro="[0]!Top_of_page">
        <xdr:nvPicPr>
          <xdr:cNvPr id="35" name="Picture 34">
            <a:extLst>
              <a:ext uri="{FF2B5EF4-FFF2-40B4-BE49-F238E27FC236}">
                <a16:creationId xmlns:a16="http://schemas.microsoft.com/office/drawing/2014/main" id="{C933AB4B-8FE3-B154-5A08-F9C5095E8B3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6" name="TextBox 35">
            <a:extLst>
              <a:ext uri="{FF2B5EF4-FFF2-40B4-BE49-F238E27FC236}">
                <a16:creationId xmlns:a16="http://schemas.microsoft.com/office/drawing/2014/main" id="{325D9EB2-B9EE-E2BF-F361-FACF6AA9F4B2}"/>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504825</xdr:colOff>
      <xdr:row>181</xdr:row>
      <xdr:rowOff>133350</xdr:rowOff>
    </xdr:from>
    <xdr:to>
      <xdr:col>0</xdr:col>
      <xdr:colOff>1411605</xdr:colOff>
      <xdr:row>187</xdr:row>
      <xdr:rowOff>5715</xdr:rowOff>
    </xdr:to>
    <xdr:grpSp>
      <xdr:nvGrpSpPr>
        <xdr:cNvPr id="37" name="Group 36">
          <a:extLst>
            <a:ext uri="{FF2B5EF4-FFF2-40B4-BE49-F238E27FC236}">
              <a16:creationId xmlns:a16="http://schemas.microsoft.com/office/drawing/2014/main" id="{C54247DC-1AE0-48B9-BD82-C181A219CB91}"/>
            </a:ext>
          </a:extLst>
        </xdr:cNvPr>
        <xdr:cNvGrpSpPr/>
      </xdr:nvGrpSpPr>
      <xdr:grpSpPr>
        <a:xfrm>
          <a:off x="506730" y="28371165"/>
          <a:ext cx="904875" cy="735330"/>
          <a:chOff x="12771120" y="8145780"/>
          <a:chExt cx="906780" cy="739140"/>
        </a:xfrm>
      </xdr:grpSpPr>
      <xdr:pic macro="[0]!Top_of_page">
        <xdr:nvPicPr>
          <xdr:cNvPr id="38" name="Picture 37">
            <a:extLst>
              <a:ext uri="{FF2B5EF4-FFF2-40B4-BE49-F238E27FC236}">
                <a16:creationId xmlns:a16="http://schemas.microsoft.com/office/drawing/2014/main" id="{7FEFE2BF-A1E1-61BA-C8BF-12E87AD66F3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39" name="TextBox 38">
            <a:extLst>
              <a:ext uri="{FF2B5EF4-FFF2-40B4-BE49-F238E27FC236}">
                <a16:creationId xmlns:a16="http://schemas.microsoft.com/office/drawing/2014/main" id="{32D2B72F-87C2-6627-87A7-573EC3329714}"/>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1457325</xdr:colOff>
      <xdr:row>183</xdr:row>
      <xdr:rowOff>0</xdr:rowOff>
    </xdr:from>
    <xdr:to>
      <xdr:col>1</xdr:col>
      <xdr:colOff>1591449</xdr:colOff>
      <xdr:row>183</xdr:row>
      <xdr:rowOff>134124</xdr:rowOff>
    </xdr:to>
    <xdr:pic>
      <xdr:nvPicPr>
        <xdr:cNvPr id="40" name="Picture 39">
          <a:extLst>
            <a:ext uri="{FF2B5EF4-FFF2-40B4-BE49-F238E27FC236}">
              <a16:creationId xmlns:a16="http://schemas.microsoft.com/office/drawing/2014/main" id="{3D9C60FF-FC71-4AFE-8386-E37435BF8399}"/>
            </a:ext>
          </a:extLst>
        </xdr:cNvPr>
        <xdr:cNvPicPr>
          <a:picLocks noChangeAspect="1"/>
        </xdr:cNvPicPr>
      </xdr:nvPicPr>
      <xdr:blipFill>
        <a:blip xmlns:r="http://schemas.openxmlformats.org/officeDocument/2006/relationships" r:embed="rId18"/>
        <a:stretch>
          <a:fillRect/>
        </a:stretch>
      </xdr:blipFill>
      <xdr:spPr>
        <a:xfrm>
          <a:off x="3505200" y="28575000"/>
          <a:ext cx="134124" cy="134124"/>
        </a:xfrm>
        <a:prstGeom prst="rect">
          <a:avLst/>
        </a:prstGeom>
      </xdr:spPr>
    </xdr:pic>
    <xdr:clientData/>
  </xdr:twoCellAnchor>
  <xdr:twoCellAnchor>
    <xdr:from>
      <xdr:col>6</xdr:col>
      <xdr:colOff>1009650</xdr:colOff>
      <xdr:row>2</xdr:row>
      <xdr:rowOff>0</xdr:rowOff>
    </xdr:from>
    <xdr:to>
      <xdr:col>8</xdr:col>
      <xdr:colOff>323850</xdr:colOff>
      <xdr:row>3</xdr:row>
      <xdr:rowOff>171450</xdr:rowOff>
    </xdr:to>
    <xdr:sp macro="" textlink="">
      <xdr:nvSpPr>
        <xdr:cNvPr id="41" name="Rectangle: Rounded Corners 40" descr="ee03ab9c-5e7c-4328-9db4-0c69115286c9">
          <a:hlinkClick xmlns:r="http://schemas.openxmlformats.org/officeDocument/2006/relationships" r:id="rId19"/>
          <a:extLst>
            <a:ext uri="{FF2B5EF4-FFF2-40B4-BE49-F238E27FC236}">
              <a16:creationId xmlns:a16="http://schemas.microsoft.com/office/drawing/2014/main" id="{7958A56C-C6FD-4638-B604-F2F223A86394}"/>
            </a:ext>
          </a:extLst>
        </xdr:cNvPr>
        <xdr:cNvSpPr/>
      </xdr:nvSpPr>
      <xdr:spPr>
        <a:xfrm>
          <a:off x="12782550" y="1971675"/>
          <a:ext cx="2076450" cy="314325"/>
        </a:xfrm>
        <a:prstGeom prst="roundRect">
          <a:avLst/>
        </a:prstGeom>
        <a:solidFill>
          <a:schemeClr val="bg1">
            <a:lumMod val="85000"/>
          </a:schemeClr>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Sensitivity </a:t>
          </a:r>
          <a:endParaRPr lang="en-BE" sz="1400" b="1"/>
        </a:p>
      </xdr:txBody>
    </xdr:sp>
    <xdr:clientData/>
  </xdr:twoCellAnchor>
  <xdr:twoCellAnchor editAs="absolute">
    <xdr:from>
      <xdr:col>0</xdr:col>
      <xdr:colOff>933450</xdr:colOff>
      <xdr:row>4</xdr:row>
      <xdr:rowOff>133350</xdr:rowOff>
    </xdr:from>
    <xdr:to>
      <xdr:col>0</xdr:col>
      <xdr:colOff>1543050</xdr:colOff>
      <xdr:row>8</xdr:row>
      <xdr:rowOff>215265</xdr:rowOff>
    </xdr:to>
    <xdr:grpSp>
      <xdr:nvGrpSpPr>
        <xdr:cNvPr id="42" name="Group 41">
          <a:extLst>
            <a:ext uri="{FF2B5EF4-FFF2-40B4-BE49-F238E27FC236}">
              <a16:creationId xmlns:a16="http://schemas.microsoft.com/office/drawing/2014/main" id="{C852ED4A-FEA4-4225-B29E-167C47A60A33}"/>
            </a:ext>
          </a:extLst>
        </xdr:cNvPr>
        <xdr:cNvGrpSpPr/>
      </xdr:nvGrpSpPr>
      <xdr:grpSpPr>
        <a:xfrm>
          <a:off x="929640" y="2491740"/>
          <a:ext cx="609600" cy="653415"/>
          <a:chOff x="13464540" y="68580"/>
          <a:chExt cx="609600" cy="662940"/>
        </a:xfrm>
      </xdr:grpSpPr>
      <xdr:pic macro="[0]!Next_worksheet">
        <xdr:nvPicPr>
          <xdr:cNvPr id="43" name="Picture 42">
            <a:extLst>
              <a:ext uri="{FF2B5EF4-FFF2-40B4-BE49-F238E27FC236}">
                <a16:creationId xmlns:a16="http://schemas.microsoft.com/office/drawing/2014/main" id="{2B059BBC-4D89-C002-762A-7BEA9B7ECAD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44" name="TextBox 43">
            <a:extLst>
              <a:ext uri="{FF2B5EF4-FFF2-40B4-BE49-F238E27FC236}">
                <a16:creationId xmlns:a16="http://schemas.microsoft.com/office/drawing/2014/main" id="{4ABCB732-4633-E6E4-7121-9BC647D9365D}"/>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oneCell">
    <xdr:from>
      <xdr:col>0</xdr:col>
      <xdr:colOff>552450</xdr:colOff>
      <xdr:row>197</xdr:row>
      <xdr:rowOff>0</xdr:rowOff>
    </xdr:from>
    <xdr:to>
      <xdr:col>0</xdr:col>
      <xdr:colOff>1459230</xdr:colOff>
      <xdr:row>202</xdr:row>
      <xdr:rowOff>15240</xdr:rowOff>
    </xdr:to>
    <xdr:grpSp>
      <xdr:nvGrpSpPr>
        <xdr:cNvPr id="45" name="Group 44">
          <a:extLst>
            <a:ext uri="{FF2B5EF4-FFF2-40B4-BE49-F238E27FC236}">
              <a16:creationId xmlns:a16="http://schemas.microsoft.com/office/drawing/2014/main" id="{8AD29F1C-6AE0-41D2-9F2F-19DDEBB9DF3E}"/>
            </a:ext>
          </a:extLst>
        </xdr:cNvPr>
        <xdr:cNvGrpSpPr/>
      </xdr:nvGrpSpPr>
      <xdr:grpSpPr>
        <a:xfrm>
          <a:off x="548640" y="30527625"/>
          <a:ext cx="914400" cy="733425"/>
          <a:chOff x="12771120" y="8145780"/>
          <a:chExt cx="906780" cy="739140"/>
        </a:xfrm>
      </xdr:grpSpPr>
      <xdr:pic macro="[0]!Top_of_page">
        <xdr:nvPicPr>
          <xdr:cNvPr id="46" name="Picture 45">
            <a:extLst>
              <a:ext uri="{FF2B5EF4-FFF2-40B4-BE49-F238E27FC236}">
                <a16:creationId xmlns:a16="http://schemas.microsoft.com/office/drawing/2014/main" id="{A0B3E74B-EF4C-A526-D7A2-BAE9ADFF2E3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47" name="TextBox 46">
            <a:extLst>
              <a:ext uri="{FF2B5EF4-FFF2-40B4-BE49-F238E27FC236}">
                <a16:creationId xmlns:a16="http://schemas.microsoft.com/office/drawing/2014/main" id="{6A092900-C8BF-7F7F-74CC-6FD1B29E039B}"/>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552450</xdr:colOff>
      <xdr:row>208</xdr:row>
      <xdr:rowOff>85725</xdr:rowOff>
    </xdr:from>
    <xdr:to>
      <xdr:col>0</xdr:col>
      <xdr:colOff>1459230</xdr:colOff>
      <xdr:row>213</xdr:row>
      <xdr:rowOff>100965</xdr:rowOff>
    </xdr:to>
    <xdr:grpSp>
      <xdr:nvGrpSpPr>
        <xdr:cNvPr id="48" name="Group 47">
          <a:extLst>
            <a:ext uri="{FF2B5EF4-FFF2-40B4-BE49-F238E27FC236}">
              <a16:creationId xmlns:a16="http://schemas.microsoft.com/office/drawing/2014/main" id="{C86EA776-3A89-432F-94E4-EBB70F5DED9D}"/>
            </a:ext>
          </a:extLst>
        </xdr:cNvPr>
        <xdr:cNvGrpSpPr/>
      </xdr:nvGrpSpPr>
      <xdr:grpSpPr>
        <a:xfrm>
          <a:off x="548640" y="32186880"/>
          <a:ext cx="914400" cy="723900"/>
          <a:chOff x="12771120" y="8145780"/>
          <a:chExt cx="906780" cy="739140"/>
        </a:xfrm>
      </xdr:grpSpPr>
      <xdr:pic macro="[0]!Top_of_page">
        <xdr:nvPicPr>
          <xdr:cNvPr id="49" name="Picture 48">
            <a:extLst>
              <a:ext uri="{FF2B5EF4-FFF2-40B4-BE49-F238E27FC236}">
                <a16:creationId xmlns:a16="http://schemas.microsoft.com/office/drawing/2014/main" id="{58F420FB-477F-54C4-270D-46C01FB02B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0]!Top_of_page" textlink="">
        <xdr:nvSpPr>
          <xdr:cNvPr id="50" name="TextBox 49">
            <a:extLst>
              <a:ext uri="{FF2B5EF4-FFF2-40B4-BE49-F238E27FC236}">
                <a16:creationId xmlns:a16="http://schemas.microsoft.com/office/drawing/2014/main" id="{F00AEB1C-E25E-8A51-0BD5-DFFF4FD777DD}"/>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2247900</xdr:colOff>
      <xdr:row>194</xdr:row>
      <xdr:rowOff>0</xdr:rowOff>
    </xdr:from>
    <xdr:to>
      <xdr:col>1</xdr:col>
      <xdr:colOff>2382024</xdr:colOff>
      <xdr:row>194</xdr:row>
      <xdr:rowOff>134124</xdr:rowOff>
    </xdr:to>
    <xdr:pic>
      <xdr:nvPicPr>
        <xdr:cNvPr id="51" name="Picture 50">
          <a:extLst>
            <a:ext uri="{FF2B5EF4-FFF2-40B4-BE49-F238E27FC236}">
              <a16:creationId xmlns:a16="http://schemas.microsoft.com/office/drawing/2014/main" id="{22C0B102-74F4-4682-AF3F-9485445B287B}"/>
            </a:ext>
          </a:extLst>
        </xdr:cNvPr>
        <xdr:cNvPicPr>
          <a:picLocks noChangeAspect="1"/>
        </xdr:cNvPicPr>
      </xdr:nvPicPr>
      <xdr:blipFill>
        <a:blip xmlns:r="http://schemas.openxmlformats.org/officeDocument/2006/relationships" r:embed="rId18"/>
        <a:stretch>
          <a:fillRect/>
        </a:stretch>
      </xdr:blipFill>
      <xdr:spPr>
        <a:xfrm>
          <a:off x="4295775" y="30146625"/>
          <a:ext cx="134124" cy="134124"/>
        </a:xfrm>
        <a:prstGeom prst="rect">
          <a:avLst/>
        </a:prstGeom>
      </xdr:spPr>
    </xdr:pic>
    <xdr:clientData/>
  </xdr:twoCellAnchor>
  <xdr:twoCellAnchor editAs="oneCell">
    <xdr:from>
      <xdr:col>2</xdr:col>
      <xdr:colOff>1257300</xdr:colOff>
      <xdr:row>205</xdr:row>
      <xdr:rowOff>133350</xdr:rowOff>
    </xdr:from>
    <xdr:to>
      <xdr:col>2</xdr:col>
      <xdr:colOff>1391424</xdr:colOff>
      <xdr:row>206</xdr:row>
      <xdr:rowOff>124599</xdr:rowOff>
    </xdr:to>
    <xdr:pic>
      <xdr:nvPicPr>
        <xdr:cNvPr id="52" name="Picture 51">
          <a:extLst>
            <a:ext uri="{FF2B5EF4-FFF2-40B4-BE49-F238E27FC236}">
              <a16:creationId xmlns:a16="http://schemas.microsoft.com/office/drawing/2014/main" id="{21908A73-EC98-4D63-AEB2-2FF4413D820B}"/>
            </a:ext>
          </a:extLst>
        </xdr:cNvPr>
        <xdr:cNvPicPr>
          <a:picLocks noChangeAspect="1"/>
        </xdr:cNvPicPr>
      </xdr:nvPicPr>
      <xdr:blipFill>
        <a:blip xmlns:r="http://schemas.openxmlformats.org/officeDocument/2006/relationships" r:embed="rId18"/>
        <a:stretch>
          <a:fillRect/>
        </a:stretch>
      </xdr:blipFill>
      <xdr:spPr>
        <a:xfrm>
          <a:off x="6019800" y="31851600"/>
          <a:ext cx="134124" cy="1341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220980</xdr:colOff>
      <xdr:row>0</xdr:row>
      <xdr:rowOff>97155</xdr:rowOff>
    </xdr:from>
    <xdr:to>
      <xdr:col>9</xdr:col>
      <xdr:colOff>325120</xdr:colOff>
      <xdr:row>0</xdr:row>
      <xdr:rowOff>1773132</xdr:rowOff>
    </xdr:to>
    <xdr:grpSp>
      <xdr:nvGrpSpPr>
        <xdr:cNvPr id="66" name="Group 65">
          <a:extLst>
            <a:ext uri="{FF2B5EF4-FFF2-40B4-BE49-F238E27FC236}">
              <a16:creationId xmlns:a16="http://schemas.microsoft.com/office/drawing/2014/main" id="{93BAAF31-01A8-4682-A229-9C221974AC02}"/>
            </a:ext>
          </a:extLst>
        </xdr:cNvPr>
        <xdr:cNvGrpSpPr/>
      </xdr:nvGrpSpPr>
      <xdr:grpSpPr>
        <a:xfrm>
          <a:off x="219075" y="93345"/>
          <a:ext cx="16466185" cy="1675977"/>
          <a:chOff x="171450" y="91441"/>
          <a:chExt cx="16462375" cy="1683597"/>
        </a:xfrm>
      </xdr:grpSpPr>
      <xdr:pic>
        <xdr:nvPicPr>
          <xdr:cNvPr id="67" name="Picture 66">
            <a:extLst>
              <a:ext uri="{FF2B5EF4-FFF2-40B4-BE49-F238E27FC236}">
                <a16:creationId xmlns:a16="http://schemas.microsoft.com/office/drawing/2014/main" id="{997C3F56-FB8A-4BB4-BDB8-FC30DAD293D3}"/>
              </a:ext>
            </a:extLst>
          </xdr:cNvPr>
          <xdr:cNvPicPr>
            <a:picLocks noChangeAspect="1"/>
          </xdr:cNvPicPr>
        </xdr:nvPicPr>
        <xdr:blipFill>
          <a:blip xmlns:r="http://schemas.openxmlformats.org/officeDocument/2006/relationships" r:embed="rId1"/>
          <a:stretch>
            <a:fillRect/>
          </a:stretch>
        </xdr:blipFill>
        <xdr:spPr>
          <a:xfrm>
            <a:off x="10498362" y="266337"/>
            <a:ext cx="1597284" cy="593779"/>
          </a:xfrm>
          <a:prstGeom prst="rect">
            <a:avLst/>
          </a:prstGeom>
        </xdr:spPr>
      </xdr:pic>
      <xdr:grpSp>
        <xdr:nvGrpSpPr>
          <xdr:cNvPr id="68" name="Group 67">
            <a:extLst>
              <a:ext uri="{FF2B5EF4-FFF2-40B4-BE49-F238E27FC236}">
                <a16:creationId xmlns:a16="http://schemas.microsoft.com/office/drawing/2014/main" id="{37353B22-627D-491B-BA5A-76C6CB3F702B}"/>
              </a:ext>
            </a:extLst>
          </xdr:cNvPr>
          <xdr:cNvGrpSpPr/>
        </xdr:nvGrpSpPr>
        <xdr:grpSpPr>
          <a:xfrm>
            <a:off x="167640" y="95251"/>
            <a:ext cx="16462375" cy="1675977"/>
            <a:chOff x="167640" y="95251"/>
            <a:chExt cx="16462375" cy="1675977"/>
          </a:xfrm>
        </xdr:grpSpPr>
        <xdr:grpSp>
          <xdr:nvGrpSpPr>
            <xdr:cNvPr id="69" name="Group 68">
              <a:extLst>
                <a:ext uri="{FF2B5EF4-FFF2-40B4-BE49-F238E27FC236}">
                  <a16:creationId xmlns:a16="http://schemas.microsoft.com/office/drawing/2014/main" id="{2D8F5A30-0E3D-426A-9122-B92B6EB13304}"/>
                </a:ext>
              </a:extLst>
            </xdr:cNvPr>
            <xdr:cNvGrpSpPr/>
          </xdr:nvGrpSpPr>
          <xdr:grpSpPr>
            <a:xfrm>
              <a:off x="171450" y="91441"/>
              <a:ext cx="16462375" cy="1683597"/>
              <a:chOff x="171449" y="38100"/>
              <a:chExt cx="16659225" cy="1704975"/>
            </a:xfrm>
          </xdr:grpSpPr>
          <xdr:grpSp>
            <xdr:nvGrpSpPr>
              <xdr:cNvPr id="71" name="Group 70">
                <a:extLst>
                  <a:ext uri="{FF2B5EF4-FFF2-40B4-BE49-F238E27FC236}">
                    <a16:creationId xmlns:a16="http://schemas.microsoft.com/office/drawing/2014/main" id="{53CAA704-9645-4E2A-BE77-A1D2BB60B17C}"/>
                  </a:ext>
                </a:extLst>
              </xdr:cNvPr>
              <xdr:cNvGrpSpPr/>
            </xdr:nvGrpSpPr>
            <xdr:grpSpPr>
              <a:xfrm>
                <a:off x="171449" y="38100"/>
                <a:ext cx="16659225" cy="1704975"/>
                <a:chOff x="171449" y="38100"/>
                <a:chExt cx="16659225" cy="1704975"/>
              </a:xfrm>
            </xdr:grpSpPr>
            <xdr:pic>
              <xdr:nvPicPr>
                <xdr:cNvPr id="74" name="Picture 73" descr="catalisti.be">
                  <a:extLst>
                    <a:ext uri="{FF2B5EF4-FFF2-40B4-BE49-F238E27FC236}">
                      <a16:creationId xmlns:a16="http://schemas.microsoft.com/office/drawing/2014/main" id="{4975977A-6D59-4886-B73D-170F4D7CC4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49" y="247650"/>
                  <a:ext cx="1762125" cy="13461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5" name="Rectangle 74">
                  <a:extLst>
                    <a:ext uri="{FF2B5EF4-FFF2-40B4-BE49-F238E27FC236}">
                      <a16:creationId xmlns:a16="http://schemas.microsoft.com/office/drawing/2014/main" id="{6AED6CD7-CF23-4B6E-9B60-EA7E03B4DD4A}"/>
                    </a:ext>
                  </a:extLst>
                </xdr:cNvPr>
                <xdr:cNvSpPr/>
              </xdr:nvSpPr>
              <xdr:spPr>
                <a:xfrm>
                  <a:off x="2521328" y="250324"/>
                  <a:ext cx="7956172" cy="937629"/>
                </a:xfrm>
                <a:prstGeom prst="rect">
                  <a:avLst/>
                </a:prstGeom>
                <a:noFill/>
                <a:scene3d>
                  <a:camera prst="orthographicFront"/>
                  <a:lightRig rig="threePt" dir="t"/>
                </a:scene3d>
                <a:sp3d>
                  <a:bevelT/>
                </a:sp3d>
              </xdr:spPr>
              <xdr:txBody>
                <a:bodyPr wrap="square" lIns="91440" tIns="45720" rIns="91440" bIns="45720">
                  <a:spAutoFit/>
                  <a:sp3d extrusionH="57150">
                    <a:bevelT w="38100" h="38100"/>
                  </a:sp3d>
                </a:bodyPr>
                <a:lstStyle/>
                <a:p>
                  <a:pPr algn="ctr"/>
                  <a:r>
                    <a:rPr lang="en-US" sz="5400" b="1" cap="none" spc="0">
                      <a:ln w="9525">
                        <a:solidFill>
                          <a:schemeClr val="bg1"/>
                        </a:solidFill>
                        <a:prstDash val="solid"/>
                      </a:ln>
                      <a:solidFill>
                        <a:schemeClr val="accent1">
                          <a:lumMod val="50000"/>
                        </a:schemeClr>
                      </a:solidFill>
                      <a:effectLst>
                        <a:outerShdw blurRad="12700" dist="38100" dir="2700000" algn="tl" rotWithShape="0">
                          <a:schemeClr val="accent5">
                            <a:lumMod val="60000"/>
                            <a:lumOff val="40000"/>
                          </a:schemeClr>
                        </a:outerShdw>
                      </a:effectLst>
                    </a:rPr>
                    <a:t>Sustainability assessment</a:t>
                  </a:r>
                </a:p>
              </xdr:txBody>
            </xdr:sp>
            <xdr:sp macro="" textlink="">
              <xdr:nvSpPr>
                <xdr:cNvPr id="76" name="Rectangle: Rounded Corners 75">
                  <a:extLst>
                    <a:ext uri="{FF2B5EF4-FFF2-40B4-BE49-F238E27FC236}">
                      <a16:creationId xmlns:a16="http://schemas.microsoft.com/office/drawing/2014/main" id="{828A5E01-7091-4D68-930D-E6B560292AED}"/>
                    </a:ext>
                  </a:extLst>
                </xdr:cNvPr>
                <xdr:cNvSpPr/>
              </xdr:nvSpPr>
              <xdr:spPr>
                <a:xfrm>
                  <a:off x="2095499" y="1590675"/>
                  <a:ext cx="14735175" cy="152400"/>
                </a:xfrm>
                <a:prstGeom prst="roundRect">
                  <a:avLst/>
                </a:prstGeom>
                <a:solidFill>
                  <a:schemeClr val="accent1">
                    <a:lumMod val="50000"/>
                  </a:schemeClr>
                </a:solidFill>
                <a:ln>
                  <a:solidFill>
                    <a:schemeClr val="accent1">
                      <a:lumMod val="60000"/>
                      <a:lumOff val="40000"/>
                    </a:schemeClr>
                  </a:solidFill>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BE" sz="1100"/>
                </a:p>
              </xdr:txBody>
            </xdr:sp>
            <xdr:pic>
              <xdr:nvPicPr>
                <xdr:cNvPr id="77" name="Picture 76">
                  <a:extLst>
                    <a:ext uri="{FF2B5EF4-FFF2-40B4-BE49-F238E27FC236}">
                      <a16:creationId xmlns:a16="http://schemas.microsoft.com/office/drawing/2014/main" id="{936AD831-E258-4CDC-AAF5-EE32961AE57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471" b="27206"/>
                <a:stretch/>
              </xdr:blipFill>
              <xdr:spPr>
                <a:xfrm>
                  <a:off x="11325074" y="981075"/>
                  <a:ext cx="1573693" cy="364495"/>
                </a:xfrm>
                <a:prstGeom prst="rect">
                  <a:avLst/>
                </a:prstGeom>
              </xdr:spPr>
            </xdr:pic>
            <xdr:pic>
              <xdr:nvPicPr>
                <xdr:cNvPr id="78" name="Picture 77">
                  <a:extLst>
                    <a:ext uri="{FF2B5EF4-FFF2-40B4-BE49-F238E27FC236}">
                      <a16:creationId xmlns:a16="http://schemas.microsoft.com/office/drawing/2014/main" id="{E4A61AE7-A570-42FB-B997-AD37BBD3FC2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00" t="13125" r="15000" b="16875"/>
                <a:stretch/>
              </xdr:blipFill>
              <xdr:spPr>
                <a:xfrm>
                  <a:off x="13344525" y="38100"/>
                  <a:ext cx="1146827" cy="885825"/>
                </a:xfrm>
                <a:prstGeom prst="rect">
                  <a:avLst/>
                </a:prstGeom>
              </xdr:spPr>
            </xdr:pic>
            <xdr:pic>
              <xdr:nvPicPr>
                <xdr:cNvPr id="79" name="Picture 78">
                  <a:extLst>
                    <a:ext uri="{FF2B5EF4-FFF2-40B4-BE49-F238E27FC236}">
                      <a16:creationId xmlns:a16="http://schemas.microsoft.com/office/drawing/2014/main" id="{13A334F6-154E-4E58-BC75-0C933B0A1A3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039726" y="937012"/>
                  <a:ext cx="1306848" cy="467852"/>
                </a:xfrm>
                <a:prstGeom prst="rect">
                  <a:avLst/>
                </a:prstGeom>
              </xdr:spPr>
            </xdr:pic>
            <xdr:pic>
              <xdr:nvPicPr>
                <xdr:cNvPr id="80" name="Picture 79">
                  <a:extLst>
                    <a:ext uri="{FF2B5EF4-FFF2-40B4-BE49-F238E27FC236}">
                      <a16:creationId xmlns:a16="http://schemas.microsoft.com/office/drawing/2014/main" id="{257733E4-7F39-4603-8A70-B520A028F97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800" t="24800" r="62200" b="25600"/>
                <a:stretch/>
              </xdr:blipFill>
              <xdr:spPr bwMode="auto">
                <a:xfrm>
                  <a:off x="12430126" y="57150"/>
                  <a:ext cx="883278" cy="782332"/>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72" name="Picture 71">
                <a:extLst>
                  <a:ext uri="{FF2B5EF4-FFF2-40B4-BE49-F238E27FC236}">
                    <a16:creationId xmlns:a16="http://schemas.microsoft.com/office/drawing/2014/main" id="{EDE98DCE-4974-4828-BC45-8561291F0F3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26873" y="1146501"/>
                <a:ext cx="1705582" cy="380757"/>
              </a:xfrm>
              <a:prstGeom prst="rect">
                <a:avLst/>
              </a:prstGeom>
            </xdr:spPr>
          </xdr:pic>
          <xdr:sp macro="" textlink="">
            <xdr:nvSpPr>
              <xdr:cNvPr id="73" name="TextBox 72">
                <a:extLst>
                  <a:ext uri="{FF2B5EF4-FFF2-40B4-BE49-F238E27FC236}">
                    <a16:creationId xmlns:a16="http://schemas.microsoft.com/office/drawing/2014/main" id="{AD71BF61-F89C-49C8-ABB8-6E328F8AFB2E}"/>
                  </a:ext>
                </a:extLst>
              </xdr:cNvPr>
              <xdr:cNvSpPr txBox="1"/>
            </xdr:nvSpPr>
            <xdr:spPr>
              <a:xfrm>
                <a:off x="14649108" y="142875"/>
                <a:ext cx="1219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commisioned</a:t>
                </a:r>
                <a:r>
                  <a:rPr lang="en-US" sz="1100" baseline="0"/>
                  <a:t> by: </a:t>
                </a:r>
                <a:endParaRPr lang="en-BE" sz="1100"/>
              </a:p>
            </xdr:txBody>
          </xdr:sp>
        </xdr:grpSp>
        <xdr:pic>
          <xdr:nvPicPr>
            <xdr:cNvPr id="70" name="Picture 69">
              <a:extLst>
                <a:ext uri="{FF2B5EF4-FFF2-40B4-BE49-F238E27FC236}">
                  <a16:creationId xmlns:a16="http://schemas.microsoft.com/office/drawing/2014/main" id="{C6EF0ECD-10FF-4BD4-B551-586B72183B2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561820" y="438150"/>
              <a:ext cx="1924050" cy="685127"/>
            </a:xfrm>
            <a:prstGeom prst="rect">
              <a:avLst/>
            </a:prstGeom>
          </xdr:spPr>
        </xdr:pic>
      </xdr:grpSp>
    </xdr:grpSp>
    <xdr:clientData/>
  </xdr:twoCellAnchor>
  <xdr:twoCellAnchor editAs="absolute">
    <xdr:from>
      <xdr:col>0</xdr:col>
      <xdr:colOff>352425</xdr:colOff>
      <xdr:row>4</xdr:row>
      <xdr:rowOff>114300</xdr:rowOff>
    </xdr:from>
    <xdr:to>
      <xdr:col>0</xdr:col>
      <xdr:colOff>962025</xdr:colOff>
      <xdr:row>8</xdr:row>
      <xdr:rowOff>215265</xdr:rowOff>
    </xdr:to>
    <xdr:grpSp>
      <xdr:nvGrpSpPr>
        <xdr:cNvPr id="16" name="Group 15">
          <a:extLst>
            <a:ext uri="{FF2B5EF4-FFF2-40B4-BE49-F238E27FC236}">
              <a16:creationId xmlns:a16="http://schemas.microsoft.com/office/drawing/2014/main" id="{7843EA64-77C2-47D0-8248-3D725CAF0F6D}"/>
            </a:ext>
          </a:extLst>
        </xdr:cNvPr>
        <xdr:cNvGrpSpPr/>
      </xdr:nvGrpSpPr>
      <xdr:grpSpPr>
        <a:xfrm>
          <a:off x="354330" y="2476500"/>
          <a:ext cx="609600" cy="668655"/>
          <a:chOff x="12801600" y="129540"/>
          <a:chExt cx="609600" cy="685800"/>
        </a:xfrm>
      </xdr:grpSpPr>
      <xdr:pic macro="[0]!Previous_worksheet">
        <xdr:nvPicPr>
          <xdr:cNvPr id="17" name="Picture 16">
            <a:extLst>
              <a:ext uri="{FF2B5EF4-FFF2-40B4-BE49-F238E27FC236}">
                <a16:creationId xmlns:a16="http://schemas.microsoft.com/office/drawing/2014/main" id="{204A63B9-F08E-D766-DE3A-A85AF072DC9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0800000">
            <a:off x="12801600" y="129540"/>
            <a:ext cx="609600" cy="518160"/>
          </a:xfrm>
          <a:prstGeom prst="rect">
            <a:avLst/>
          </a:prstGeom>
        </xdr:spPr>
      </xdr:pic>
      <xdr:sp macro="[0]!Previous_worksheet" textlink="">
        <xdr:nvSpPr>
          <xdr:cNvPr id="18" name="TextBox 17">
            <a:extLst>
              <a:ext uri="{FF2B5EF4-FFF2-40B4-BE49-F238E27FC236}">
                <a16:creationId xmlns:a16="http://schemas.microsoft.com/office/drawing/2014/main" id="{B51CEBF8-BF03-CAF3-0175-F424AA970E09}"/>
              </a:ext>
            </a:extLst>
          </xdr:cNvPr>
          <xdr:cNvSpPr txBox="1"/>
        </xdr:nvSpPr>
        <xdr:spPr>
          <a:xfrm>
            <a:off x="12870180" y="57912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Back</a:t>
            </a:r>
          </a:p>
        </xdr:txBody>
      </xdr:sp>
    </xdr:grpSp>
    <xdr:clientData/>
  </xdr:twoCellAnchor>
  <xdr:twoCellAnchor editAs="absolute">
    <xdr:from>
      <xdr:col>0</xdr:col>
      <xdr:colOff>180975</xdr:colOff>
      <xdr:row>8</xdr:row>
      <xdr:rowOff>485775</xdr:rowOff>
    </xdr:from>
    <xdr:to>
      <xdr:col>0</xdr:col>
      <xdr:colOff>1876425</xdr:colOff>
      <xdr:row>10</xdr:row>
      <xdr:rowOff>110490</xdr:rowOff>
    </xdr:to>
    <xdr:sp macro="" textlink="">
      <xdr:nvSpPr>
        <xdr:cNvPr id="19" name="Rounded Rectangle 7" descr="a4461fd3-ee10-4e25-a8c9-24250bb7ff54">
          <a:hlinkClick xmlns:r="http://schemas.openxmlformats.org/officeDocument/2006/relationships" r:id="rId10"/>
          <a:extLst>
            <a:ext uri="{FF2B5EF4-FFF2-40B4-BE49-F238E27FC236}">
              <a16:creationId xmlns:a16="http://schemas.microsoft.com/office/drawing/2014/main" id="{1CCC3EEC-A794-427D-8438-B41B5BA492FD}"/>
            </a:ext>
          </a:extLst>
        </xdr:cNvPr>
        <xdr:cNvSpPr/>
      </xdr:nvSpPr>
      <xdr:spPr>
        <a:xfrm>
          <a:off x="180975" y="3419475"/>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Technical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11</xdr:row>
      <xdr:rowOff>76200</xdr:rowOff>
    </xdr:from>
    <xdr:to>
      <xdr:col>0</xdr:col>
      <xdr:colOff>1866900</xdr:colOff>
      <xdr:row>13</xdr:row>
      <xdr:rowOff>129540</xdr:rowOff>
    </xdr:to>
    <xdr:sp macro="" textlink="">
      <xdr:nvSpPr>
        <xdr:cNvPr id="20" name="Rounded Rectangle 7" descr="facce393-8bde-48e2-af95-2cd0cce906a7">
          <a:hlinkClick xmlns:r="http://schemas.openxmlformats.org/officeDocument/2006/relationships" r:id="rId11"/>
          <a:extLst>
            <a:ext uri="{FF2B5EF4-FFF2-40B4-BE49-F238E27FC236}">
              <a16:creationId xmlns:a16="http://schemas.microsoft.com/office/drawing/2014/main" id="{FB3311A8-5D29-4FF3-94A0-96ADA36483A6}"/>
            </a:ext>
          </a:extLst>
        </xdr:cNvPr>
        <xdr:cNvSpPr/>
      </xdr:nvSpPr>
      <xdr:spPr>
        <a:xfrm>
          <a:off x="171450" y="386715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Economic</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171450</xdr:colOff>
      <xdr:row>14</xdr:row>
      <xdr:rowOff>85725</xdr:rowOff>
    </xdr:from>
    <xdr:to>
      <xdr:col>0</xdr:col>
      <xdr:colOff>1866900</xdr:colOff>
      <xdr:row>16</xdr:row>
      <xdr:rowOff>91440</xdr:rowOff>
    </xdr:to>
    <xdr:sp macro="" textlink="">
      <xdr:nvSpPr>
        <xdr:cNvPr id="21" name="Rounded Rectangle 7" descr="842f6373-c4b6-460f-ba8e-ec4afaa41c9f">
          <a:hlinkClick xmlns:r="http://schemas.openxmlformats.org/officeDocument/2006/relationships" r:id="rId12"/>
          <a:extLst>
            <a:ext uri="{FF2B5EF4-FFF2-40B4-BE49-F238E27FC236}">
              <a16:creationId xmlns:a16="http://schemas.microsoft.com/office/drawing/2014/main" id="{0407C459-1B5E-483A-99F2-697E2EF5CB45}"/>
            </a:ext>
          </a:extLst>
        </xdr:cNvPr>
        <xdr:cNvSpPr/>
      </xdr:nvSpPr>
      <xdr:spPr>
        <a:xfrm>
          <a:off x="171450" y="4305300"/>
          <a:ext cx="1695450" cy="339090"/>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nl-BE" sz="1100" b="1">
              <a:solidFill>
                <a:schemeClr val="accent5"/>
              </a:solidFill>
            </a:rPr>
            <a:t>Environmental</a:t>
          </a:r>
          <a:r>
            <a:rPr lang="nl-BE" sz="1100" b="1" baseline="0">
              <a:solidFill>
                <a:schemeClr val="accent5"/>
              </a:solidFill>
            </a:rPr>
            <a:t> data</a:t>
          </a:r>
          <a:endParaRPr lang="nl-BE" sz="1100" b="1">
            <a:solidFill>
              <a:schemeClr val="accent5"/>
            </a:solidFill>
          </a:endParaRPr>
        </a:p>
      </xdr:txBody>
    </xdr:sp>
    <xdr:clientData/>
  </xdr:twoCellAnchor>
  <xdr:twoCellAnchor editAs="absolute">
    <xdr:from>
      <xdr:col>0</xdr:col>
      <xdr:colOff>542925</xdr:colOff>
      <xdr:row>2</xdr:row>
      <xdr:rowOff>28575</xdr:rowOff>
    </xdr:from>
    <xdr:to>
      <xdr:col>0</xdr:col>
      <xdr:colOff>1464945</xdr:colOff>
      <xdr:row>3</xdr:row>
      <xdr:rowOff>215265</xdr:rowOff>
    </xdr:to>
    <xdr:sp macro="" textlink="">
      <xdr:nvSpPr>
        <xdr:cNvPr id="22" name="Rounded Rectangle 25" descr="01729492-20e6-4829-8e64-dfa665c2a982">
          <a:hlinkClick xmlns:r="http://schemas.openxmlformats.org/officeDocument/2006/relationships" r:id="rId13"/>
          <a:extLst>
            <a:ext uri="{FF2B5EF4-FFF2-40B4-BE49-F238E27FC236}">
              <a16:creationId xmlns:a16="http://schemas.microsoft.com/office/drawing/2014/main" id="{12B52A15-8388-4BFE-A7D2-ED891BFF10FA}"/>
            </a:ext>
          </a:extLst>
        </xdr:cNvPr>
        <xdr:cNvSpPr/>
      </xdr:nvSpPr>
      <xdr:spPr>
        <a:xfrm>
          <a:off x="542925" y="2000250"/>
          <a:ext cx="922020" cy="329565"/>
        </a:xfrm>
        <a:prstGeom prst="roundRect">
          <a:avLst/>
        </a:prstGeom>
        <a:solidFill>
          <a:schemeClr val="bg1"/>
        </a:solidFill>
        <a:ln w="28575">
          <a:solidFill>
            <a:schemeClr val="tx1">
              <a:lumMod val="50000"/>
              <a:lumOff val="50000"/>
            </a:schemeClr>
          </a:solidFill>
        </a:ln>
        <a:effectLst>
          <a:outerShdw blurRad="40000" dist="20000" dir="5400000" rotWithShape="0">
            <a:srgbClr val="000000">
              <a:alpha val="38000"/>
            </a:srgbClr>
          </a:outerShdw>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l-BE" sz="1100" b="1">
              <a:solidFill>
                <a:schemeClr val="accent5"/>
              </a:solidFill>
            </a:rPr>
            <a:t>Summary</a:t>
          </a:r>
        </a:p>
      </xdr:txBody>
    </xdr:sp>
    <xdr:clientData/>
  </xdr:twoCellAnchor>
  <xdr:twoCellAnchor editAs="oneCell">
    <xdr:from>
      <xdr:col>2</xdr:col>
      <xdr:colOff>485775</xdr:colOff>
      <xdr:row>3</xdr:row>
      <xdr:rowOff>19050</xdr:rowOff>
    </xdr:from>
    <xdr:to>
      <xdr:col>2</xdr:col>
      <xdr:colOff>693057</xdr:colOff>
      <xdr:row>3</xdr:row>
      <xdr:rowOff>220235</xdr:rowOff>
    </xdr:to>
    <xdr:pic>
      <xdr:nvPicPr>
        <xdr:cNvPr id="23" name="Picture 22">
          <a:extLst>
            <a:ext uri="{FF2B5EF4-FFF2-40B4-BE49-F238E27FC236}">
              <a16:creationId xmlns:a16="http://schemas.microsoft.com/office/drawing/2014/main" id="{542A7C23-A329-4FC6-B2D1-E32E8DCC4FA9}"/>
            </a:ext>
          </a:extLst>
        </xdr:cNvPr>
        <xdr:cNvPicPr>
          <a:picLocks noChangeAspect="1"/>
        </xdr:cNvPicPr>
      </xdr:nvPicPr>
      <xdr:blipFill>
        <a:blip xmlns:r="http://schemas.openxmlformats.org/officeDocument/2006/relationships" r:embed="rId14"/>
        <a:stretch>
          <a:fillRect/>
        </a:stretch>
      </xdr:blipFill>
      <xdr:spPr>
        <a:xfrm>
          <a:off x="5248275" y="2133600"/>
          <a:ext cx="207282" cy="201185"/>
        </a:xfrm>
        <a:prstGeom prst="rect">
          <a:avLst/>
        </a:prstGeom>
      </xdr:spPr>
    </xdr:pic>
    <xdr:clientData/>
  </xdr:twoCellAnchor>
  <xdr:twoCellAnchor>
    <xdr:from>
      <xdr:col>3</xdr:col>
      <xdr:colOff>0</xdr:colOff>
      <xdr:row>2</xdr:row>
      <xdr:rowOff>0</xdr:rowOff>
    </xdr:from>
    <xdr:to>
      <xdr:col>3</xdr:col>
      <xdr:colOff>2076450</xdr:colOff>
      <xdr:row>3</xdr:row>
      <xdr:rowOff>171450</xdr:rowOff>
    </xdr:to>
    <xdr:sp macro="" textlink="">
      <xdr:nvSpPr>
        <xdr:cNvPr id="24" name="Rectangle: Rounded Corners 23" descr="f13e694d-75c5-4207-bf07-ddd0ba96aebc">
          <a:hlinkClick xmlns:r="http://schemas.openxmlformats.org/officeDocument/2006/relationships" r:id="rId15"/>
          <a:extLst>
            <a:ext uri="{FF2B5EF4-FFF2-40B4-BE49-F238E27FC236}">
              <a16:creationId xmlns:a16="http://schemas.microsoft.com/office/drawing/2014/main" id="{7BBCB994-A417-48A9-9889-8FD6AB6136D3}"/>
            </a:ext>
          </a:extLst>
        </xdr:cNvPr>
        <xdr:cNvSpPr/>
      </xdr:nvSpPr>
      <xdr:spPr>
        <a:xfrm>
          <a:off x="6296025" y="1971675"/>
          <a:ext cx="2076450" cy="314325"/>
        </a:xfrm>
        <a:prstGeom prst="roundRect">
          <a:avLst/>
        </a:prstGeom>
        <a:solidFill>
          <a:schemeClr val="accent1">
            <a:lumMod val="60000"/>
            <a:lumOff val="40000"/>
          </a:schemeClr>
        </a:solidFill>
        <a:ln>
          <a:solidFill>
            <a:schemeClr val="accent1">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Technical </a:t>
          </a:r>
          <a:endParaRPr lang="en-BE" sz="1400" b="1"/>
        </a:p>
      </xdr:txBody>
    </xdr:sp>
    <xdr:clientData/>
  </xdr:twoCellAnchor>
  <xdr:twoCellAnchor>
    <xdr:from>
      <xdr:col>3</xdr:col>
      <xdr:colOff>2171700</xdr:colOff>
      <xdr:row>2</xdr:row>
      <xdr:rowOff>0</xdr:rowOff>
    </xdr:from>
    <xdr:to>
      <xdr:col>5</xdr:col>
      <xdr:colOff>152400</xdr:colOff>
      <xdr:row>3</xdr:row>
      <xdr:rowOff>171450</xdr:rowOff>
    </xdr:to>
    <xdr:sp macro="" textlink="">
      <xdr:nvSpPr>
        <xdr:cNvPr id="25" name="Rectangle: Rounded Corners 24" descr="a3f61add-8a6e-4e81-a809-a56a19ec928f">
          <a:hlinkClick xmlns:r="http://schemas.openxmlformats.org/officeDocument/2006/relationships" r:id="rId16"/>
          <a:extLst>
            <a:ext uri="{FF2B5EF4-FFF2-40B4-BE49-F238E27FC236}">
              <a16:creationId xmlns:a16="http://schemas.microsoft.com/office/drawing/2014/main" id="{BEE79D8A-4888-4060-B123-F462CDF09EE2}"/>
            </a:ext>
          </a:extLst>
        </xdr:cNvPr>
        <xdr:cNvSpPr/>
      </xdr:nvSpPr>
      <xdr:spPr>
        <a:xfrm>
          <a:off x="8467725" y="1971675"/>
          <a:ext cx="2076450" cy="314325"/>
        </a:xfrm>
        <a:prstGeom prst="roundRect">
          <a:avLst/>
        </a:prstGeom>
        <a:solidFill>
          <a:schemeClr val="accent2">
            <a:lumMod val="60000"/>
            <a:lumOff val="40000"/>
          </a:schemeClr>
        </a:solidFill>
        <a:ln>
          <a:solidFill>
            <a:schemeClr val="accent2">
              <a:lumMod val="60000"/>
              <a:lumOff val="40000"/>
            </a:schemeClr>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Economic</a:t>
          </a:r>
          <a:endParaRPr lang="en-BE" sz="1400" b="1"/>
        </a:p>
      </xdr:txBody>
    </xdr:sp>
    <xdr:clientData/>
  </xdr:twoCellAnchor>
  <xdr:twoCellAnchor>
    <xdr:from>
      <xdr:col>5</xdr:col>
      <xdr:colOff>238125</xdr:colOff>
      <xdr:row>2</xdr:row>
      <xdr:rowOff>0</xdr:rowOff>
    </xdr:from>
    <xdr:to>
      <xdr:col>6</xdr:col>
      <xdr:colOff>933450</xdr:colOff>
      <xdr:row>3</xdr:row>
      <xdr:rowOff>171450</xdr:rowOff>
    </xdr:to>
    <xdr:sp macro="" textlink="">
      <xdr:nvSpPr>
        <xdr:cNvPr id="26" name="Rectangle: Rounded Corners 25" descr="c74321de-6fe7-4bd8-ba52-d17e23b27a7d">
          <a:hlinkClick xmlns:r="http://schemas.openxmlformats.org/officeDocument/2006/relationships" r:id="rId17"/>
          <a:extLst>
            <a:ext uri="{FF2B5EF4-FFF2-40B4-BE49-F238E27FC236}">
              <a16:creationId xmlns:a16="http://schemas.microsoft.com/office/drawing/2014/main" id="{2BD15252-7BE4-4A2D-8264-64BB5E90449B}"/>
            </a:ext>
          </a:extLst>
        </xdr:cNvPr>
        <xdr:cNvSpPr/>
      </xdr:nvSpPr>
      <xdr:spPr>
        <a:xfrm>
          <a:off x="10629900" y="1971675"/>
          <a:ext cx="2076450" cy="314325"/>
        </a:xfrm>
        <a:prstGeom prst="roundRect">
          <a:avLst/>
        </a:prstGeom>
        <a:solidFill>
          <a:srgbClr val="CFD4A0"/>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Environmental </a:t>
          </a:r>
          <a:endParaRPr lang="en-BE" sz="1400" b="1"/>
        </a:p>
      </xdr:txBody>
    </xdr:sp>
    <xdr:clientData/>
  </xdr:twoCellAnchor>
  <xdr:twoCellAnchor editAs="oneCell">
    <xdr:from>
      <xdr:col>1</xdr:col>
      <xdr:colOff>323850</xdr:colOff>
      <xdr:row>5</xdr:row>
      <xdr:rowOff>9525</xdr:rowOff>
    </xdr:from>
    <xdr:to>
      <xdr:col>1</xdr:col>
      <xdr:colOff>461241</xdr:colOff>
      <xdr:row>6</xdr:row>
      <xdr:rowOff>0</xdr:rowOff>
    </xdr:to>
    <xdr:pic>
      <xdr:nvPicPr>
        <xdr:cNvPr id="27" name="Picture 26">
          <a:extLst>
            <a:ext uri="{FF2B5EF4-FFF2-40B4-BE49-F238E27FC236}">
              <a16:creationId xmlns:a16="http://schemas.microsoft.com/office/drawing/2014/main" id="{7597072E-8B53-4245-8748-19A8102AB5D3}"/>
            </a:ext>
          </a:extLst>
        </xdr:cNvPr>
        <xdr:cNvPicPr>
          <a:picLocks noChangeAspect="1"/>
        </xdr:cNvPicPr>
      </xdr:nvPicPr>
      <xdr:blipFill>
        <a:blip xmlns:r="http://schemas.openxmlformats.org/officeDocument/2006/relationships" r:embed="rId14"/>
        <a:stretch>
          <a:fillRect/>
        </a:stretch>
      </xdr:blipFill>
      <xdr:spPr>
        <a:xfrm>
          <a:off x="2371725" y="2514600"/>
          <a:ext cx="137391" cy="133350"/>
        </a:xfrm>
        <a:prstGeom prst="rect">
          <a:avLst/>
        </a:prstGeom>
      </xdr:spPr>
    </xdr:pic>
    <xdr:clientData/>
  </xdr:twoCellAnchor>
  <xdr:twoCellAnchor editAs="oneCell">
    <xdr:from>
      <xdr:col>1</xdr:col>
      <xdr:colOff>695325</xdr:colOff>
      <xdr:row>29</xdr:row>
      <xdr:rowOff>0</xdr:rowOff>
    </xdr:from>
    <xdr:to>
      <xdr:col>1</xdr:col>
      <xdr:colOff>832716</xdr:colOff>
      <xdr:row>29</xdr:row>
      <xdr:rowOff>133350</xdr:rowOff>
    </xdr:to>
    <xdr:pic>
      <xdr:nvPicPr>
        <xdr:cNvPr id="28" name="Picture 27">
          <a:extLst>
            <a:ext uri="{FF2B5EF4-FFF2-40B4-BE49-F238E27FC236}">
              <a16:creationId xmlns:a16="http://schemas.microsoft.com/office/drawing/2014/main" id="{076B1499-6831-47A7-916C-B04163BE9F1A}"/>
            </a:ext>
          </a:extLst>
        </xdr:cNvPr>
        <xdr:cNvPicPr>
          <a:picLocks noChangeAspect="1"/>
        </xdr:cNvPicPr>
      </xdr:nvPicPr>
      <xdr:blipFill>
        <a:blip xmlns:r="http://schemas.openxmlformats.org/officeDocument/2006/relationships" r:embed="rId14"/>
        <a:stretch>
          <a:fillRect/>
        </a:stretch>
      </xdr:blipFill>
      <xdr:spPr>
        <a:xfrm>
          <a:off x="2743200" y="6457950"/>
          <a:ext cx="137391" cy="133350"/>
        </a:xfrm>
        <a:prstGeom prst="rect">
          <a:avLst/>
        </a:prstGeom>
      </xdr:spPr>
    </xdr:pic>
    <xdr:clientData/>
  </xdr:twoCellAnchor>
  <xdr:twoCellAnchor editAs="oneCell">
    <xdr:from>
      <xdr:col>1</xdr:col>
      <xdr:colOff>685800</xdr:colOff>
      <xdr:row>77</xdr:row>
      <xdr:rowOff>9525</xdr:rowOff>
    </xdr:from>
    <xdr:to>
      <xdr:col>1</xdr:col>
      <xdr:colOff>823191</xdr:colOff>
      <xdr:row>78</xdr:row>
      <xdr:rowOff>0</xdr:rowOff>
    </xdr:to>
    <xdr:pic>
      <xdr:nvPicPr>
        <xdr:cNvPr id="29" name="Picture 28">
          <a:extLst>
            <a:ext uri="{FF2B5EF4-FFF2-40B4-BE49-F238E27FC236}">
              <a16:creationId xmlns:a16="http://schemas.microsoft.com/office/drawing/2014/main" id="{D3A85E86-A8BF-4B51-85E5-84A16E9B5CB6}"/>
            </a:ext>
          </a:extLst>
        </xdr:cNvPr>
        <xdr:cNvPicPr>
          <a:picLocks noChangeAspect="1"/>
        </xdr:cNvPicPr>
      </xdr:nvPicPr>
      <xdr:blipFill>
        <a:blip xmlns:r="http://schemas.openxmlformats.org/officeDocument/2006/relationships" r:embed="rId14"/>
        <a:stretch>
          <a:fillRect/>
        </a:stretch>
      </xdr:blipFill>
      <xdr:spPr>
        <a:xfrm>
          <a:off x="2733675" y="13325475"/>
          <a:ext cx="137391" cy="133350"/>
        </a:xfrm>
        <a:prstGeom prst="rect">
          <a:avLst/>
        </a:prstGeom>
      </xdr:spPr>
    </xdr:pic>
    <xdr:clientData/>
  </xdr:twoCellAnchor>
  <xdr:twoCellAnchor editAs="oneCell">
    <xdr:from>
      <xdr:col>1</xdr:col>
      <xdr:colOff>990600</xdr:colOff>
      <xdr:row>144</xdr:row>
      <xdr:rowOff>9525</xdr:rowOff>
    </xdr:from>
    <xdr:to>
      <xdr:col>1</xdr:col>
      <xdr:colOff>1127991</xdr:colOff>
      <xdr:row>145</xdr:row>
      <xdr:rowOff>0</xdr:rowOff>
    </xdr:to>
    <xdr:pic>
      <xdr:nvPicPr>
        <xdr:cNvPr id="30" name="Picture 29">
          <a:extLst>
            <a:ext uri="{FF2B5EF4-FFF2-40B4-BE49-F238E27FC236}">
              <a16:creationId xmlns:a16="http://schemas.microsoft.com/office/drawing/2014/main" id="{199C801E-CF43-4E45-875D-537FD9F0695B}"/>
            </a:ext>
          </a:extLst>
        </xdr:cNvPr>
        <xdr:cNvPicPr>
          <a:picLocks noChangeAspect="1"/>
        </xdr:cNvPicPr>
      </xdr:nvPicPr>
      <xdr:blipFill>
        <a:blip xmlns:r="http://schemas.openxmlformats.org/officeDocument/2006/relationships" r:embed="rId14"/>
        <a:stretch>
          <a:fillRect/>
        </a:stretch>
      </xdr:blipFill>
      <xdr:spPr>
        <a:xfrm>
          <a:off x="3038475" y="22898100"/>
          <a:ext cx="137391" cy="133350"/>
        </a:xfrm>
        <a:prstGeom prst="rect">
          <a:avLst/>
        </a:prstGeom>
      </xdr:spPr>
    </xdr:pic>
    <xdr:clientData/>
  </xdr:twoCellAnchor>
  <xdr:twoCellAnchor editAs="oneCell">
    <xdr:from>
      <xdr:col>0</xdr:col>
      <xdr:colOff>504825</xdr:colOff>
      <xdr:row>55</xdr:row>
      <xdr:rowOff>47625</xdr:rowOff>
    </xdr:from>
    <xdr:to>
      <xdr:col>0</xdr:col>
      <xdr:colOff>1411605</xdr:colOff>
      <xdr:row>60</xdr:row>
      <xdr:rowOff>62865</xdr:rowOff>
    </xdr:to>
    <xdr:grpSp>
      <xdr:nvGrpSpPr>
        <xdr:cNvPr id="31" name="Group 30">
          <a:extLst>
            <a:ext uri="{FF2B5EF4-FFF2-40B4-BE49-F238E27FC236}">
              <a16:creationId xmlns:a16="http://schemas.microsoft.com/office/drawing/2014/main" id="{CC744B7F-2F91-478D-B89D-53A8A3B40448}"/>
            </a:ext>
          </a:extLst>
        </xdr:cNvPr>
        <xdr:cNvGrpSpPr/>
      </xdr:nvGrpSpPr>
      <xdr:grpSpPr>
        <a:xfrm>
          <a:off x="506730" y="10203180"/>
          <a:ext cx="904875" cy="723900"/>
          <a:chOff x="12771120" y="8145780"/>
          <a:chExt cx="906780" cy="739140"/>
        </a:xfrm>
      </xdr:grpSpPr>
      <xdr:pic>
        <xdr:nvPicPr>
          <xdr:cNvPr id="32" name="Picture 31">
            <a:extLst>
              <a:ext uri="{FF2B5EF4-FFF2-40B4-BE49-F238E27FC236}">
                <a16:creationId xmlns:a16="http://schemas.microsoft.com/office/drawing/2014/main" id="{F13EE96C-3C1F-EF4D-1E08-46A2E45D718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 textlink="">
        <xdr:nvSpPr>
          <xdr:cNvPr id="33" name="TextBox 32">
            <a:extLst>
              <a:ext uri="{FF2B5EF4-FFF2-40B4-BE49-F238E27FC236}">
                <a16:creationId xmlns:a16="http://schemas.microsoft.com/office/drawing/2014/main" id="{CC2779A7-D3E9-F185-3D3D-33EA9973E2CD}"/>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542925</xdr:colOff>
      <xdr:row>132</xdr:row>
      <xdr:rowOff>66675</xdr:rowOff>
    </xdr:from>
    <xdr:to>
      <xdr:col>0</xdr:col>
      <xdr:colOff>1449705</xdr:colOff>
      <xdr:row>137</xdr:row>
      <xdr:rowOff>81915</xdr:rowOff>
    </xdr:to>
    <xdr:grpSp>
      <xdr:nvGrpSpPr>
        <xdr:cNvPr id="34" name="Group 33">
          <a:extLst>
            <a:ext uri="{FF2B5EF4-FFF2-40B4-BE49-F238E27FC236}">
              <a16:creationId xmlns:a16="http://schemas.microsoft.com/office/drawing/2014/main" id="{2D7A4FF0-3AF2-4F2B-B481-8216849B7EDA}"/>
            </a:ext>
          </a:extLst>
        </xdr:cNvPr>
        <xdr:cNvGrpSpPr/>
      </xdr:nvGrpSpPr>
      <xdr:grpSpPr>
        <a:xfrm>
          <a:off x="544830" y="21219795"/>
          <a:ext cx="904875" cy="733425"/>
          <a:chOff x="12771120" y="8145780"/>
          <a:chExt cx="906780" cy="739140"/>
        </a:xfrm>
      </xdr:grpSpPr>
      <xdr:pic>
        <xdr:nvPicPr>
          <xdr:cNvPr id="35" name="Picture 34">
            <a:extLst>
              <a:ext uri="{FF2B5EF4-FFF2-40B4-BE49-F238E27FC236}">
                <a16:creationId xmlns:a16="http://schemas.microsoft.com/office/drawing/2014/main" id="{F9F363ED-29DD-FD56-9D2D-F37C001D8BC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 textlink="">
        <xdr:nvSpPr>
          <xdr:cNvPr id="36" name="TextBox 35">
            <a:extLst>
              <a:ext uri="{FF2B5EF4-FFF2-40B4-BE49-F238E27FC236}">
                <a16:creationId xmlns:a16="http://schemas.microsoft.com/office/drawing/2014/main" id="{7533CE31-FE9F-424E-B14F-46BDB043C811}"/>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504825</xdr:colOff>
      <xdr:row>181</xdr:row>
      <xdr:rowOff>133350</xdr:rowOff>
    </xdr:from>
    <xdr:to>
      <xdr:col>0</xdr:col>
      <xdr:colOff>1411605</xdr:colOff>
      <xdr:row>187</xdr:row>
      <xdr:rowOff>5715</xdr:rowOff>
    </xdr:to>
    <xdr:grpSp>
      <xdr:nvGrpSpPr>
        <xdr:cNvPr id="37" name="Group 36">
          <a:extLst>
            <a:ext uri="{FF2B5EF4-FFF2-40B4-BE49-F238E27FC236}">
              <a16:creationId xmlns:a16="http://schemas.microsoft.com/office/drawing/2014/main" id="{9B2B5E7C-A640-4AB9-84C4-E25325B3E0DB}"/>
            </a:ext>
          </a:extLst>
        </xdr:cNvPr>
        <xdr:cNvGrpSpPr/>
      </xdr:nvGrpSpPr>
      <xdr:grpSpPr>
        <a:xfrm>
          <a:off x="506730" y="28371165"/>
          <a:ext cx="904875" cy="735330"/>
          <a:chOff x="12771120" y="8145780"/>
          <a:chExt cx="906780" cy="739140"/>
        </a:xfrm>
      </xdr:grpSpPr>
      <xdr:pic>
        <xdr:nvPicPr>
          <xdr:cNvPr id="38" name="Picture 37">
            <a:extLst>
              <a:ext uri="{FF2B5EF4-FFF2-40B4-BE49-F238E27FC236}">
                <a16:creationId xmlns:a16="http://schemas.microsoft.com/office/drawing/2014/main" id="{5CCD1786-8240-3613-CCCC-0FC7EE1D76D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 textlink="">
        <xdr:nvSpPr>
          <xdr:cNvPr id="39" name="TextBox 38">
            <a:extLst>
              <a:ext uri="{FF2B5EF4-FFF2-40B4-BE49-F238E27FC236}">
                <a16:creationId xmlns:a16="http://schemas.microsoft.com/office/drawing/2014/main" id="{4E9B1D18-A6DF-CD18-96BE-2172FC68E12C}"/>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1457325</xdr:colOff>
      <xdr:row>183</xdr:row>
      <xdr:rowOff>0</xdr:rowOff>
    </xdr:from>
    <xdr:to>
      <xdr:col>1</xdr:col>
      <xdr:colOff>1591449</xdr:colOff>
      <xdr:row>183</xdr:row>
      <xdr:rowOff>134124</xdr:rowOff>
    </xdr:to>
    <xdr:pic>
      <xdr:nvPicPr>
        <xdr:cNvPr id="40" name="Picture 39">
          <a:extLst>
            <a:ext uri="{FF2B5EF4-FFF2-40B4-BE49-F238E27FC236}">
              <a16:creationId xmlns:a16="http://schemas.microsoft.com/office/drawing/2014/main" id="{EBC8F171-F811-4404-96DC-AC7815A1669F}"/>
            </a:ext>
          </a:extLst>
        </xdr:cNvPr>
        <xdr:cNvPicPr>
          <a:picLocks noChangeAspect="1"/>
        </xdr:cNvPicPr>
      </xdr:nvPicPr>
      <xdr:blipFill>
        <a:blip xmlns:r="http://schemas.openxmlformats.org/officeDocument/2006/relationships" r:embed="rId18"/>
        <a:stretch>
          <a:fillRect/>
        </a:stretch>
      </xdr:blipFill>
      <xdr:spPr>
        <a:xfrm>
          <a:off x="3505200" y="28575000"/>
          <a:ext cx="134124" cy="134124"/>
        </a:xfrm>
        <a:prstGeom prst="rect">
          <a:avLst/>
        </a:prstGeom>
      </xdr:spPr>
    </xdr:pic>
    <xdr:clientData/>
  </xdr:twoCellAnchor>
  <xdr:twoCellAnchor>
    <xdr:from>
      <xdr:col>6</xdr:col>
      <xdr:colOff>1009650</xdr:colOff>
      <xdr:row>2</xdr:row>
      <xdr:rowOff>0</xdr:rowOff>
    </xdr:from>
    <xdr:to>
      <xdr:col>8</xdr:col>
      <xdr:colOff>323850</xdr:colOff>
      <xdr:row>3</xdr:row>
      <xdr:rowOff>171450</xdr:rowOff>
    </xdr:to>
    <xdr:sp macro="" textlink="">
      <xdr:nvSpPr>
        <xdr:cNvPr id="41" name="Rectangle: Rounded Corners 40" descr="ee03ab9c-5e7c-4328-9db4-0c69115286c9">
          <a:hlinkClick xmlns:r="http://schemas.openxmlformats.org/officeDocument/2006/relationships" r:id="rId19"/>
          <a:extLst>
            <a:ext uri="{FF2B5EF4-FFF2-40B4-BE49-F238E27FC236}">
              <a16:creationId xmlns:a16="http://schemas.microsoft.com/office/drawing/2014/main" id="{1694D4FE-764B-45FA-8289-8E0B548E7160}"/>
            </a:ext>
          </a:extLst>
        </xdr:cNvPr>
        <xdr:cNvSpPr/>
      </xdr:nvSpPr>
      <xdr:spPr>
        <a:xfrm>
          <a:off x="12782550" y="1971675"/>
          <a:ext cx="2076450" cy="314325"/>
        </a:xfrm>
        <a:prstGeom prst="roundRect">
          <a:avLst/>
        </a:prstGeom>
        <a:solidFill>
          <a:schemeClr val="bg1">
            <a:lumMod val="85000"/>
          </a:schemeClr>
        </a:solidFill>
        <a:ln>
          <a:solidFill>
            <a:srgbClr val="D6DAAE"/>
          </a:solidFill>
        </a:ln>
        <a:scene3d>
          <a:camera prst="orthographicFront"/>
          <a:lightRig rig="threePt" dir="t"/>
        </a:scene3d>
        <a:sp3d>
          <a:bevelT/>
        </a:sp3d>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400" b="1"/>
            <a:t>Sensitivity </a:t>
          </a:r>
          <a:endParaRPr lang="en-BE" sz="1400" b="1"/>
        </a:p>
      </xdr:txBody>
    </xdr:sp>
    <xdr:clientData/>
  </xdr:twoCellAnchor>
  <xdr:twoCellAnchor editAs="absolute">
    <xdr:from>
      <xdr:col>0</xdr:col>
      <xdr:colOff>933450</xdr:colOff>
      <xdr:row>4</xdr:row>
      <xdr:rowOff>133350</xdr:rowOff>
    </xdr:from>
    <xdr:to>
      <xdr:col>0</xdr:col>
      <xdr:colOff>1543050</xdr:colOff>
      <xdr:row>8</xdr:row>
      <xdr:rowOff>215265</xdr:rowOff>
    </xdr:to>
    <xdr:grpSp>
      <xdr:nvGrpSpPr>
        <xdr:cNvPr id="42" name="Group 41">
          <a:extLst>
            <a:ext uri="{FF2B5EF4-FFF2-40B4-BE49-F238E27FC236}">
              <a16:creationId xmlns:a16="http://schemas.microsoft.com/office/drawing/2014/main" id="{54029C82-823B-4976-8E47-D035E648C681}"/>
            </a:ext>
          </a:extLst>
        </xdr:cNvPr>
        <xdr:cNvGrpSpPr/>
      </xdr:nvGrpSpPr>
      <xdr:grpSpPr>
        <a:xfrm>
          <a:off x="929640" y="2491740"/>
          <a:ext cx="609600" cy="653415"/>
          <a:chOff x="13464540" y="68580"/>
          <a:chExt cx="609600" cy="662940"/>
        </a:xfrm>
      </xdr:grpSpPr>
      <xdr:pic macro="[0]!Next_worksheet">
        <xdr:nvPicPr>
          <xdr:cNvPr id="43" name="Picture 42">
            <a:extLst>
              <a:ext uri="{FF2B5EF4-FFF2-40B4-BE49-F238E27FC236}">
                <a16:creationId xmlns:a16="http://schemas.microsoft.com/office/drawing/2014/main" id="{E6D3C3D4-B061-9FD9-F324-11E44ACFD43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464540" y="68580"/>
            <a:ext cx="609600" cy="518160"/>
          </a:xfrm>
          <a:prstGeom prst="rect">
            <a:avLst/>
          </a:prstGeom>
        </xdr:spPr>
      </xdr:pic>
      <xdr:sp macro="[0]!Next_worksheet" textlink="">
        <xdr:nvSpPr>
          <xdr:cNvPr id="44" name="TextBox 43">
            <a:extLst>
              <a:ext uri="{FF2B5EF4-FFF2-40B4-BE49-F238E27FC236}">
                <a16:creationId xmlns:a16="http://schemas.microsoft.com/office/drawing/2014/main" id="{BB5EB4A0-D5E5-93CA-D9B7-7579316016F6}"/>
              </a:ext>
            </a:extLst>
          </xdr:cNvPr>
          <xdr:cNvSpPr txBox="1"/>
        </xdr:nvSpPr>
        <xdr:spPr>
          <a:xfrm>
            <a:off x="13548360" y="495300"/>
            <a:ext cx="4800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Next</a:t>
            </a:r>
          </a:p>
        </xdr:txBody>
      </xdr:sp>
    </xdr:grpSp>
    <xdr:clientData/>
  </xdr:twoCellAnchor>
  <xdr:twoCellAnchor editAs="oneCell">
    <xdr:from>
      <xdr:col>0</xdr:col>
      <xdr:colOff>552450</xdr:colOff>
      <xdr:row>197</xdr:row>
      <xdr:rowOff>0</xdr:rowOff>
    </xdr:from>
    <xdr:to>
      <xdr:col>0</xdr:col>
      <xdr:colOff>1459230</xdr:colOff>
      <xdr:row>202</xdr:row>
      <xdr:rowOff>15240</xdr:rowOff>
    </xdr:to>
    <xdr:grpSp>
      <xdr:nvGrpSpPr>
        <xdr:cNvPr id="45" name="Group 44">
          <a:extLst>
            <a:ext uri="{FF2B5EF4-FFF2-40B4-BE49-F238E27FC236}">
              <a16:creationId xmlns:a16="http://schemas.microsoft.com/office/drawing/2014/main" id="{F3789E4E-4EA7-4D9F-97A5-9DE4CB3B25C8}"/>
            </a:ext>
          </a:extLst>
        </xdr:cNvPr>
        <xdr:cNvGrpSpPr/>
      </xdr:nvGrpSpPr>
      <xdr:grpSpPr>
        <a:xfrm>
          <a:off x="548640" y="30527625"/>
          <a:ext cx="914400" cy="733425"/>
          <a:chOff x="12771120" y="8145780"/>
          <a:chExt cx="906780" cy="739140"/>
        </a:xfrm>
      </xdr:grpSpPr>
      <xdr:pic>
        <xdr:nvPicPr>
          <xdr:cNvPr id="46" name="Picture 45">
            <a:extLst>
              <a:ext uri="{FF2B5EF4-FFF2-40B4-BE49-F238E27FC236}">
                <a16:creationId xmlns:a16="http://schemas.microsoft.com/office/drawing/2014/main" id="{1E9F0F99-8772-242D-BB14-7BD655D1DFA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 textlink="">
        <xdr:nvSpPr>
          <xdr:cNvPr id="47" name="TextBox 46">
            <a:extLst>
              <a:ext uri="{FF2B5EF4-FFF2-40B4-BE49-F238E27FC236}">
                <a16:creationId xmlns:a16="http://schemas.microsoft.com/office/drawing/2014/main" id="{6D5CD569-9E78-874A-AE18-16F79ABC4376}"/>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0</xdr:col>
      <xdr:colOff>552450</xdr:colOff>
      <xdr:row>208</xdr:row>
      <xdr:rowOff>85725</xdr:rowOff>
    </xdr:from>
    <xdr:to>
      <xdr:col>0</xdr:col>
      <xdr:colOff>1459230</xdr:colOff>
      <xdr:row>213</xdr:row>
      <xdr:rowOff>100965</xdr:rowOff>
    </xdr:to>
    <xdr:grpSp>
      <xdr:nvGrpSpPr>
        <xdr:cNvPr id="48" name="Group 47">
          <a:extLst>
            <a:ext uri="{FF2B5EF4-FFF2-40B4-BE49-F238E27FC236}">
              <a16:creationId xmlns:a16="http://schemas.microsoft.com/office/drawing/2014/main" id="{ADBFF6A3-3772-403B-82B0-E202D93C317B}"/>
            </a:ext>
          </a:extLst>
        </xdr:cNvPr>
        <xdr:cNvGrpSpPr/>
      </xdr:nvGrpSpPr>
      <xdr:grpSpPr>
        <a:xfrm>
          <a:off x="548640" y="32186880"/>
          <a:ext cx="914400" cy="723900"/>
          <a:chOff x="12771120" y="8145780"/>
          <a:chExt cx="906780" cy="739140"/>
        </a:xfrm>
      </xdr:grpSpPr>
      <xdr:pic>
        <xdr:nvPicPr>
          <xdr:cNvPr id="49" name="Picture 48">
            <a:extLst>
              <a:ext uri="{FF2B5EF4-FFF2-40B4-BE49-F238E27FC236}">
                <a16:creationId xmlns:a16="http://schemas.microsoft.com/office/drawing/2014/main" id="{CE2EA0D5-4F35-ADE5-482B-B1164DA0470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rot="16200000">
            <a:off x="12931140" y="8191500"/>
            <a:ext cx="609600" cy="518160"/>
          </a:xfrm>
          <a:prstGeom prst="rect">
            <a:avLst/>
          </a:prstGeom>
        </xdr:spPr>
      </xdr:pic>
      <xdr:sp macro="" textlink="">
        <xdr:nvSpPr>
          <xdr:cNvPr id="50" name="TextBox 49">
            <a:extLst>
              <a:ext uri="{FF2B5EF4-FFF2-40B4-BE49-F238E27FC236}">
                <a16:creationId xmlns:a16="http://schemas.microsoft.com/office/drawing/2014/main" id="{D60AB878-D9A2-C7C5-7105-CC3C994B5E58}"/>
              </a:ext>
            </a:extLst>
          </xdr:cNvPr>
          <xdr:cNvSpPr txBox="1"/>
        </xdr:nvSpPr>
        <xdr:spPr>
          <a:xfrm>
            <a:off x="12771120" y="8602980"/>
            <a:ext cx="90678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a:t>Back to top</a:t>
            </a:r>
          </a:p>
        </xdr:txBody>
      </xdr:sp>
    </xdr:grpSp>
    <xdr:clientData/>
  </xdr:twoCellAnchor>
  <xdr:twoCellAnchor editAs="oneCell">
    <xdr:from>
      <xdr:col>1</xdr:col>
      <xdr:colOff>2247900</xdr:colOff>
      <xdr:row>194</xdr:row>
      <xdr:rowOff>0</xdr:rowOff>
    </xdr:from>
    <xdr:to>
      <xdr:col>1</xdr:col>
      <xdr:colOff>2382024</xdr:colOff>
      <xdr:row>194</xdr:row>
      <xdr:rowOff>134124</xdr:rowOff>
    </xdr:to>
    <xdr:pic>
      <xdr:nvPicPr>
        <xdr:cNvPr id="51" name="Picture 50">
          <a:extLst>
            <a:ext uri="{FF2B5EF4-FFF2-40B4-BE49-F238E27FC236}">
              <a16:creationId xmlns:a16="http://schemas.microsoft.com/office/drawing/2014/main" id="{C4861586-B0F5-471B-8E4C-E22B1BD2D7B9}"/>
            </a:ext>
          </a:extLst>
        </xdr:cNvPr>
        <xdr:cNvPicPr>
          <a:picLocks noChangeAspect="1"/>
        </xdr:cNvPicPr>
      </xdr:nvPicPr>
      <xdr:blipFill>
        <a:blip xmlns:r="http://schemas.openxmlformats.org/officeDocument/2006/relationships" r:embed="rId18"/>
        <a:stretch>
          <a:fillRect/>
        </a:stretch>
      </xdr:blipFill>
      <xdr:spPr>
        <a:xfrm>
          <a:off x="4295775" y="30146625"/>
          <a:ext cx="134124" cy="134124"/>
        </a:xfrm>
        <a:prstGeom prst="rect">
          <a:avLst/>
        </a:prstGeom>
      </xdr:spPr>
    </xdr:pic>
    <xdr:clientData/>
  </xdr:twoCellAnchor>
  <xdr:twoCellAnchor editAs="oneCell">
    <xdr:from>
      <xdr:col>2</xdr:col>
      <xdr:colOff>1257300</xdr:colOff>
      <xdr:row>205</xdr:row>
      <xdr:rowOff>133350</xdr:rowOff>
    </xdr:from>
    <xdr:to>
      <xdr:col>2</xdr:col>
      <xdr:colOff>1391424</xdr:colOff>
      <xdr:row>206</xdr:row>
      <xdr:rowOff>124599</xdr:rowOff>
    </xdr:to>
    <xdr:pic>
      <xdr:nvPicPr>
        <xdr:cNvPr id="52" name="Picture 51">
          <a:extLst>
            <a:ext uri="{FF2B5EF4-FFF2-40B4-BE49-F238E27FC236}">
              <a16:creationId xmlns:a16="http://schemas.microsoft.com/office/drawing/2014/main" id="{E2916E86-63BE-44D0-98F5-6FB77710A0F9}"/>
            </a:ext>
          </a:extLst>
        </xdr:cNvPr>
        <xdr:cNvPicPr>
          <a:picLocks noChangeAspect="1"/>
        </xdr:cNvPicPr>
      </xdr:nvPicPr>
      <xdr:blipFill>
        <a:blip xmlns:r="http://schemas.openxmlformats.org/officeDocument/2006/relationships" r:embed="rId18"/>
        <a:stretch>
          <a:fillRect/>
        </a:stretch>
      </xdr:blipFill>
      <xdr:spPr>
        <a:xfrm>
          <a:off x="6019800" y="31851600"/>
          <a:ext cx="134124" cy="1341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504825</xdr:colOff>
      <xdr:row>59</xdr:row>
      <xdr:rowOff>9526</xdr:rowOff>
    </xdr:from>
    <xdr:to>
      <xdr:col>5</xdr:col>
      <xdr:colOff>75009</xdr:colOff>
      <xdr:row>72</xdr:row>
      <xdr:rowOff>73820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504825" y="11287126"/>
          <a:ext cx="3580209" cy="2540794"/>
        </a:xfrm>
        <a:prstGeom prst="rect">
          <a:avLst/>
        </a:prstGeom>
      </xdr:spPr>
    </xdr:pic>
    <xdr:clientData/>
  </xdr:twoCellAnchor>
  <xdr:twoCellAnchor editAs="oneCell">
    <xdr:from>
      <xdr:col>10</xdr:col>
      <xdr:colOff>405765</xdr:colOff>
      <xdr:row>4</xdr:row>
      <xdr:rowOff>42227</xdr:rowOff>
    </xdr:from>
    <xdr:to>
      <xdr:col>22</xdr:col>
      <xdr:colOff>517598</xdr:colOff>
      <xdr:row>33</xdr:row>
      <xdr:rowOff>62865</xdr:rowOff>
    </xdr:to>
    <xdr:pic>
      <xdr:nvPicPr>
        <xdr:cNvPr id="5" name="Picture 4" descr="Raw Materials Information System">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63865" y="804227"/>
          <a:ext cx="7703258" cy="5587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stainability%20framework%20MOT_without%20default%20valu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shboard results"/>
      <sheetName val="Project"/>
      <sheetName val="Technology"/>
      <sheetName val="Market "/>
      <sheetName val="Pathway definition and results"/>
      <sheetName val="Data - technical"/>
      <sheetName val="Data - economic"/>
      <sheetName val="Data - environmental"/>
      <sheetName val="Data - general"/>
      <sheetName val="1. Pathway 1"/>
      <sheetName val="2. Pathway 2"/>
      <sheetName val="3. Pathway 3"/>
      <sheetName val="4. Pathway 4"/>
      <sheetName val="Dropdown list"/>
      <sheetName val="Sustainability framework MOT_wi"/>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3">
          <cell r="F13">
            <v>0.8</v>
          </cell>
        </row>
        <row r="14">
          <cell r="F14">
            <v>0.05</v>
          </cell>
        </row>
        <row r="16">
          <cell r="F16">
            <v>7.509803921568628E-2</v>
          </cell>
        </row>
        <row r="17">
          <cell r="F17">
            <v>0.25</v>
          </cell>
        </row>
        <row r="18">
          <cell r="F18">
            <v>15</v>
          </cell>
        </row>
      </sheetData>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solvent" displayName="Table_solvent" ref="B5:E58" totalsRowShown="0">
  <autoFilter ref="B5:E58" xr:uid="{00000000-0009-0000-0100-000001000000}"/>
  <sortState xmlns:xlrd2="http://schemas.microsoft.com/office/spreadsheetml/2017/richdata2" ref="B6:B55">
    <sortCondition ref="B54"/>
  </sortState>
  <tableColumns count="4">
    <tableColumn id="1" xr3:uid="{00000000-0010-0000-0000-000001000000}" name="Solvents"/>
    <tableColumn id="2" xr3:uid="{00000000-0010-0000-0000-000002000000}" name="Status "/>
    <tableColumn id="3" xr3:uid="{00000000-0010-0000-0000-000003000000}" name="€/ton"/>
    <tableColumn id="4" xr3:uid="{00000000-0010-0000-0000-000004000000}" name="kg CO2eq/kg"/>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_elements" displayName="Table_elements" ref="H5:J52" totalsRowShown="0">
  <autoFilter ref="H5:J52" xr:uid="{00000000-0009-0000-0100-000005000000}"/>
  <sortState xmlns:xlrd2="http://schemas.microsoft.com/office/spreadsheetml/2017/richdata2" ref="H6:J52">
    <sortCondition ref="H6"/>
  </sortState>
  <tableColumns count="3">
    <tableColumn id="1" xr3:uid="{00000000-0010-0000-0100-000001000000}" name="Critical Raw Materials included in catalysts"/>
    <tableColumn id="2" xr3:uid="{00000000-0010-0000-0100-000002000000}" name="Status"/>
    <tableColumn id="3" xr3:uid="{00000000-0010-0000-0100-000003000000}" name="€/t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moonshot.sustainabilityframework@vito.be"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omments" Target="../comments10.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54"/>
  <sheetViews>
    <sheetView tabSelected="1" workbookViewId="0">
      <pane xSplit="1" topLeftCell="B1" activePane="topRight" state="frozen"/>
      <selection pane="topRight" activeCell="B10" sqref="B10:K10"/>
    </sheetView>
  </sheetViews>
  <sheetFormatPr defaultColWidth="9.109375" defaultRowHeight="11.4" x14ac:dyDescent="0.2"/>
  <cols>
    <col min="1" max="1" width="30.6640625" style="1" customWidth="1"/>
    <col min="2" max="2" width="30.33203125" style="1" customWidth="1"/>
    <col min="3" max="3" width="86.5546875" style="1" customWidth="1"/>
    <col min="4" max="9" width="9.109375" style="1"/>
    <col min="10" max="10" width="5.33203125" style="1" customWidth="1"/>
    <col min="11" max="11" width="1.44140625" style="1" customWidth="1"/>
    <col min="12" max="16384" width="9.109375" style="1"/>
  </cols>
  <sheetData>
    <row r="1" spans="2:24" ht="144" customHeight="1" x14ac:dyDescent="0.2"/>
    <row r="5" spans="2:24" ht="19.8" x14ac:dyDescent="0.3">
      <c r="B5" s="3" t="s">
        <v>0</v>
      </c>
    </row>
    <row r="6" spans="2:24" ht="19.8" x14ac:dyDescent="0.3">
      <c r="B6" s="3"/>
    </row>
    <row r="7" spans="2:24" ht="58.5" customHeight="1" x14ac:dyDescent="0.2">
      <c r="B7" s="508" t="s">
        <v>676</v>
      </c>
      <c r="C7" s="508"/>
      <c r="D7" s="508"/>
      <c r="E7" s="508"/>
      <c r="F7" s="508"/>
      <c r="G7" s="508"/>
      <c r="H7" s="508"/>
      <c r="I7" s="508"/>
    </row>
    <row r="8" spans="2:24" ht="19.8" x14ac:dyDescent="0.3">
      <c r="B8" s="3"/>
    </row>
    <row r="9" spans="2:24" x14ac:dyDescent="0.2">
      <c r="B9" s="6" t="s">
        <v>1</v>
      </c>
    </row>
    <row r="10" spans="2:24" ht="191.25" customHeight="1" x14ac:dyDescent="0.3">
      <c r="B10" s="506" t="s">
        <v>2</v>
      </c>
      <c r="C10" s="505"/>
      <c r="D10" s="505"/>
      <c r="E10" s="505"/>
      <c r="F10" s="505"/>
      <c r="G10" s="505"/>
      <c r="H10" s="505"/>
      <c r="I10" s="505"/>
      <c r="J10" s="505"/>
      <c r="K10" s="505"/>
      <c r="L10" s="12"/>
      <c r="M10" s="12"/>
      <c r="N10"/>
      <c r="O10" s="12"/>
      <c r="P10" s="12"/>
      <c r="Q10" s="12"/>
      <c r="R10" s="12"/>
      <c r="S10" s="12"/>
      <c r="T10" s="12"/>
      <c r="U10" s="12"/>
      <c r="V10" s="12"/>
      <c r="W10" s="12"/>
      <c r="X10" s="12"/>
    </row>
    <row r="12" spans="2:24" x14ac:dyDescent="0.2">
      <c r="B12" s="6" t="s">
        <v>3</v>
      </c>
    </row>
    <row r="13" spans="2:24" ht="24" customHeight="1" x14ac:dyDescent="0.2">
      <c r="B13" s="505" t="s">
        <v>4</v>
      </c>
      <c r="C13" s="505"/>
      <c r="D13" s="505"/>
      <c r="E13" s="505"/>
      <c r="F13" s="505"/>
      <c r="G13" s="505"/>
      <c r="H13" s="505"/>
      <c r="I13" s="505"/>
      <c r="J13" s="505"/>
      <c r="K13" s="505"/>
      <c r="L13" s="505"/>
      <c r="M13" s="505"/>
      <c r="N13" s="505"/>
      <c r="O13" s="505"/>
      <c r="P13" s="505"/>
      <c r="Q13" s="505"/>
      <c r="R13" s="505"/>
      <c r="S13" s="505"/>
      <c r="T13" s="505"/>
      <c r="U13" s="505"/>
      <c r="V13" s="505"/>
      <c r="W13" s="505"/>
      <c r="X13" s="505"/>
    </row>
    <row r="15" spans="2:24" x14ac:dyDescent="0.2">
      <c r="B15" s="6" t="s">
        <v>5</v>
      </c>
    </row>
    <row r="16" spans="2:24" x14ac:dyDescent="0.2">
      <c r="B16" s="1" t="s">
        <v>6</v>
      </c>
    </row>
    <row r="17" spans="2:4" x14ac:dyDescent="0.2">
      <c r="B17" s="44" t="s">
        <v>655</v>
      </c>
    </row>
    <row r="18" spans="2:4" x14ac:dyDescent="0.2">
      <c r="B18" s="44" t="s">
        <v>7</v>
      </c>
    </row>
    <row r="20" spans="2:4" ht="19.8" x14ac:dyDescent="0.3">
      <c r="B20" s="3" t="s">
        <v>8</v>
      </c>
    </row>
    <row r="22" spans="2:4" x14ac:dyDescent="0.2">
      <c r="B22" s="6" t="s">
        <v>9</v>
      </c>
    </row>
    <row r="23" spans="2:4" x14ac:dyDescent="0.2">
      <c r="B23" s="13" t="s">
        <v>10</v>
      </c>
      <c r="C23" s="13" t="s">
        <v>11</v>
      </c>
      <c r="D23" s="46" t="s">
        <v>12</v>
      </c>
    </row>
    <row r="24" spans="2:4" ht="27.75" customHeight="1" x14ac:dyDescent="0.2">
      <c r="B24" s="51" t="s">
        <v>13</v>
      </c>
      <c r="C24" s="49" t="s">
        <v>14</v>
      </c>
      <c r="D24" s="95"/>
    </row>
    <row r="25" spans="2:4" ht="21.9" customHeight="1" x14ac:dyDescent="0.2">
      <c r="B25" s="51" t="s">
        <v>15</v>
      </c>
      <c r="C25" s="49" t="s">
        <v>16</v>
      </c>
      <c r="D25" s="95"/>
    </row>
    <row r="26" spans="2:4" ht="21.9" customHeight="1" x14ac:dyDescent="0.2">
      <c r="B26" s="51" t="s">
        <v>17</v>
      </c>
      <c r="C26" s="49" t="s">
        <v>18</v>
      </c>
      <c r="D26" s="95" t="s">
        <v>19</v>
      </c>
    </row>
    <row r="27" spans="2:4" ht="29.25" customHeight="1" x14ac:dyDescent="0.2">
      <c r="B27" s="51" t="s">
        <v>20</v>
      </c>
      <c r="C27" s="49" t="s">
        <v>21</v>
      </c>
      <c r="D27" s="95" t="s">
        <v>22</v>
      </c>
    </row>
    <row r="28" spans="2:4" ht="27" customHeight="1" x14ac:dyDescent="0.2">
      <c r="B28" s="51" t="s">
        <v>23</v>
      </c>
      <c r="C28" s="49" t="s">
        <v>24</v>
      </c>
      <c r="D28" s="95" t="s">
        <v>25</v>
      </c>
    </row>
    <row r="29" spans="2:4" ht="57" customHeight="1" x14ac:dyDescent="0.2">
      <c r="B29" s="51" t="s">
        <v>26</v>
      </c>
      <c r="C29" s="49" t="s">
        <v>27</v>
      </c>
      <c r="D29" s="95" t="s">
        <v>28</v>
      </c>
    </row>
    <row r="30" spans="2:4" ht="27" customHeight="1" x14ac:dyDescent="0.2">
      <c r="B30" s="51" t="s">
        <v>29</v>
      </c>
      <c r="C30" s="49" t="s">
        <v>30</v>
      </c>
      <c r="D30" s="95" t="s">
        <v>31</v>
      </c>
    </row>
    <row r="31" spans="2:4" ht="31.5" customHeight="1" x14ac:dyDescent="0.2">
      <c r="B31" s="51" t="s">
        <v>32</v>
      </c>
      <c r="C31" s="49" t="s">
        <v>33</v>
      </c>
      <c r="D31" s="95" t="s">
        <v>34</v>
      </c>
    </row>
    <row r="32" spans="2:4" ht="35.25" customHeight="1" x14ac:dyDescent="0.2">
      <c r="B32" s="51" t="s">
        <v>35</v>
      </c>
      <c r="C32" s="49" t="s">
        <v>36</v>
      </c>
      <c r="D32" s="133" t="s">
        <v>37</v>
      </c>
    </row>
    <row r="33" spans="2:12" ht="27" customHeight="1" x14ac:dyDescent="0.2">
      <c r="B33" s="51" t="s">
        <v>38</v>
      </c>
      <c r="C33" s="49" t="s">
        <v>39</v>
      </c>
      <c r="D33" s="95" t="s">
        <v>40</v>
      </c>
    </row>
    <row r="34" spans="2:12" ht="47.25" customHeight="1" x14ac:dyDescent="0.2">
      <c r="B34" s="51" t="s">
        <v>41</v>
      </c>
      <c r="C34" s="267" t="s">
        <v>597</v>
      </c>
      <c r="D34" s="95" t="s">
        <v>42</v>
      </c>
    </row>
    <row r="35" spans="2:12" x14ac:dyDescent="0.2">
      <c r="D35" s="52"/>
    </row>
    <row r="36" spans="2:12" x14ac:dyDescent="0.2">
      <c r="B36" s="6" t="s">
        <v>43</v>
      </c>
    </row>
    <row r="38" spans="2:12" x14ac:dyDescent="0.2">
      <c r="B38" s="14"/>
      <c r="C38" s="1" t="s">
        <v>44</v>
      </c>
    </row>
    <row r="39" spans="2:12" x14ac:dyDescent="0.2">
      <c r="B39" s="9"/>
      <c r="C39" s="1" t="s">
        <v>45</v>
      </c>
    </row>
    <row r="40" spans="2:12" x14ac:dyDescent="0.2">
      <c r="B40" s="45"/>
      <c r="C40" s="1" t="s">
        <v>46</v>
      </c>
    </row>
    <row r="42" spans="2:12" x14ac:dyDescent="0.2">
      <c r="B42" s="147" t="s">
        <v>47</v>
      </c>
      <c r="C42" s="1" t="s">
        <v>48</v>
      </c>
    </row>
    <row r="43" spans="2:12" x14ac:dyDescent="0.2">
      <c r="B43" s="9" t="s">
        <v>47</v>
      </c>
      <c r="C43" s="1" t="s">
        <v>49</v>
      </c>
    </row>
    <row r="44" spans="2:12" ht="14.4" x14ac:dyDescent="0.3">
      <c r="B44" s="1" t="s">
        <v>47</v>
      </c>
      <c r="C44" s="1" t="s">
        <v>50</v>
      </c>
      <c r="F44"/>
    </row>
    <row r="45" spans="2:12" ht="14.4" x14ac:dyDescent="0.3">
      <c r="B45" s="174"/>
      <c r="C45" s="1" t="s">
        <v>51</v>
      </c>
      <c r="F45"/>
    </row>
    <row r="46" spans="2:12" ht="14.4" x14ac:dyDescent="0.3">
      <c r="F46"/>
    </row>
    <row r="47" spans="2:12" ht="14.4" x14ac:dyDescent="0.3">
      <c r="B47" s="6" t="s">
        <v>52</v>
      </c>
      <c r="F47"/>
    </row>
    <row r="48" spans="2:12" ht="63.75" customHeight="1" x14ac:dyDescent="0.2">
      <c r="B48" s="507" t="s">
        <v>53</v>
      </c>
      <c r="C48" s="507"/>
      <c r="D48" s="507"/>
      <c r="E48" s="507"/>
      <c r="F48" s="507"/>
      <c r="G48" s="507"/>
      <c r="H48" s="507"/>
      <c r="I48" s="507"/>
      <c r="J48" s="507"/>
      <c r="K48" s="507"/>
      <c r="L48" s="507"/>
    </row>
    <row r="49" spans="2:15" ht="14.4" x14ac:dyDescent="0.3">
      <c r="B49" s="1" t="s">
        <v>54</v>
      </c>
      <c r="C49" s="1" t="s">
        <v>55</v>
      </c>
      <c r="F49"/>
    </row>
    <row r="50" spans="2:15" ht="14.4" x14ac:dyDescent="0.3">
      <c r="B50" s="1" t="s">
        <v>56</v>
      </c>
      <c r="C50" s="1" t="s">
        <v>57</v>
      </c>
      <c r="F50"/>
    </row>
    <row r="51" spans="2:15" ht="14.4" x14ac:dyDescent="0.3">
      <c r="B51" s="1" t="s">
        <v>58</v>
      </c>
      <c r="C51" s="1" t="s">
        <v>59</v>
      </c>
      <c r="F51"/>
    </row>
    <row r="52" spans="2:15" ht="14.4" x14ac:dyDescent="0.3">
      <c r="F52"/>
    </row>
    <row r="53" spans="2:15" x14ac:dyDescent="0.2">
      <c r="B53" s="6" t="s">
        <v>60</v>
      </c>
    </row>
    <row r="54" spans="2:15" ht="84" customHeight="1" x14ac:dyDescent="0.2">
      <c r="B54" s="509" t="s">
        <v>709</v>
      </c>
      <c r="C54" s="509"/>
      <c r="D54" s="509"/>
      <c r="E54" s="509"/>
      <c r="F54" s="509"/>
      <c r="G54" s="509"/>
      <c r="H54" s="509"/>
      <c r="I54" s="509"/>
      <c r="J54" s="509"/>
      <c r="K54" s="509"/>
      <c r="L54" s="509"/>
      <c r="M54" s="509"/>
      <c r="N54" s="509"/>
      <c r="O54" s="509"/>
    </row>
  </sheetData>
  <sheetProtection algorithmName="SHA-512" hashValue="NNnNi/f2grc8qce6L42kX1FJG/zCB/MlYHxYiT56rTMlyJDd+EsA6XIYvyn7iGpGFHaiZtgOjOi0dkBEtBu9Wg==" saltValue="ZIMOiSIUDAdQq4t4zWNALg==" spinCount="100000" sheet="1" objects="1" scenarios="1"/>
  <mergeCells count="5">
    <mergeCell ref="B13:X13"/>
    <mergeCell ref="B10:K10"/>
    <mergeCell ref="B48:L48"/>
    <mergeCell ref="B7:I7"/>
    <mergeCell ref="B54:O5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O129"/>
  <sheetViews>
    <sheetView topLeftCell="A49" zoomScaleNormal="100" workbookViewId="0">
      <pane xSplit="1" topLeftCell="B1" activePane="topRight" state="frozen"/>
      <selection pane="topRight" activeCell="I86" sqref="I86"/>
    </sheetView>
  </sheetViews>
  <sheetFormatPr defaultColWidth="9.109375" defaultRowHeight="11.4" x14ac:dyDescent="0.2"/>
  <cols>
    <col min="1" max="1" width="30.6640625" style="1" customWidth="1"/>
    <col min="2" max="2" width="1.33203125" style="1" customWidth="1"/>
    <col min="3" max="3" width="1.88671875" style="1" customWidth="1"/>
    <col min="4" max="4" width="56.33203125" style="1" customWidth="1"/>
    <col min="5" max="5" width="1.33203125" style="1" customWidth="1"/>
    <col min="6" max="6" width="30.88671875" style="1" customWidth="1"/>
    <col min="7" max="7" width="1.33203125" style="1" customWidth="1"/>
    <col min="8" max="11" width="30.6640625" style="1" customWidth="1"/>
    <col min="12" max="12" width="1.33203125" style="1" customWidth="1"/>
    <col min="13" max="13" width="13.33203125" style="1" customWidth="1"/>
    <col min="14" max="14" width="1.33203125" style="1" customWidth="1"/>
    <col min="15" max="15" width="23.5546875" style="1" customWidth="1"/>
    <col min="16" max="16" width="23.88671875" style="1" customWidth="1"/>
    <col min="17" max="17" width="25.33203125" style="1" customWidth="1"/>
    <col min="18" max="16384" width="9.109375" style="1"/>
  </cols>
  <sheetData>
    <row r="1" spans="2:14" ht="144" customHeight="1" x14ac:dyDescent="0.2"/>
    <row r="2" spans="2:14" ht="15" customHeight="1" x14ac:dyDescent="0.2">
      <c r="C2" s="520" t="s">
        <v>645</v>
      </c>
      <c r="D2" s="520"/>
      <c r="E2" s="520"/>
      <c r="F2" s="520"/>
      <c r="G2" s="520"/>
      <c r="H2" s="520"/>
      <c r="I2" s="520"/>
      <c r="J2" s="520"/>
      <c r="K2" s="520"/>
      <c r="L2" s="520"/>
      <c r="M2" s="520"/>
      <c r="N2" s="520"/>
    </row>
    <row r="3" spans="2:14" ht="12" thickBot="1" x14ac:dyDescent="0.25"/>
    <row r="4" spans="2:14" x14ac:dyDescent="0.2">
      <c r="B4" s="6"/>
      <c r="C4" s="521" t="s">
        <v>598</v>
      </c>
      <c r="D4" s="522"/>
      <c r="E4" s="333"/>
      <c r="F4" s="333"/>
      <c r="G4" s="333"/>
      <c r="H4" s="333"/>
      <c r="I4" s="333"/>
      <c r="J4" s="333"/>
      <c r="K4" s="333"/>
      <c r="L4" s="333"/>
      <c r="M4" s="333"/>
      <c r="N4" s="334"/>
    </row>
    <row r="5" spans="2:14" x14ac:dyDescent="0.2">
      <c r="C5" s="335"/>
      <c r="D5" s="336"/>
      <c r="E5" s="337"/>
      <c r="F5" s="337"/>
      <c r="G5" s="337"/>
      <c r="H5" s="336"/>
      <c r="I5" s="336"/>
      <c r="J5" s="337"/>
      <c r="K5" s="338"/>
      <c r="L5" s="338"/>
      <c r="M5" s="336"/>
      <c r="N5" s="339"/>
    </row>
    <row r="6" spans="2:14" ht="15" customHeight="1" x14ac:dyDescent="0.2">
      <c r="C6" s="335"/>
      <c r="D6" s="338" t="str">
        <f>Project!$B$6</f>
        <v>Project acronym</v>
      </c>
      <c r="E6" s="338"/>
      <c r="F6" s="515" t="str">
        <f>IF(Project!$C$6=0,"",Project!$C$6)</f>
        <v>e.g.</v>
      </c>
      <c r="G6" s="515"/>
      <c r="H6" s="515"/>
      <c r="I6" s="336"/>
      <c r="J6" s="338" t="str">
        <f>Technology!$B$6</f>
        <v>Targeted product(s)</v>
      </c>
      <c r="K6" s="447" t="str">
        <f>IF(Technology!$C$6=0,"",Technology!$C$6)</f>
        <v>Hydrogen</v>
      </c>
      <c r="L6" s="337"/>
      <c r="M6" s="336"/>
      <c r="N6" s="339"/>
    </row>
    <row r="7" spans="2:14" ht="15" customHeight="1" x14ac:dyDescent="0.2">
      <c r="C7" s="335"/>
      <c r="D7" s="336"/>
      <c r="E7" s="337"/>
      <c r="F7" s="337"/>
      <c r="G7" s="337"/>
      <c r="H7" s="336"/>
      <c r="I7" s="336"/>
      <c r="J7" s="338"/>
      <c r="K7" s="448"/>
      <c r="L7" s="338"/>
      <c r="M7" s="336"/>
      <c r="N7" s="339"/>
    </row>
    <row r="8" spans="2:14" ht="15" customHeight="1" x14ac:dyDescent="0.2">
      <c r="C8" s="335"/>
      <c r="D8" s="338" t="str">
        <f>Project!$B$9</f>
        <v>Start date</v>
      </c>
      <c r="E8" s="338"/>
      <c r="F8" s="523">
        <f>IF(Project!$C$9=0,"",Project!$C$9)</f>
        <v>45047</v>
      </c>
      <c r="G8" s="523"/>
      <c r="H8" s="523"/>
      <c r="I8" s="336"/>
      <c r="J8" s="338" t="str">
        <f>Technology!$B$11</f>
        <v xml:space="preserve">Current TRL </v>
      </c>
      <c r="K8" s="447">
        <f>IF(Technology!$C$11=0,"",Technology!$C$11)</f>
        <v>7</v>
      </c>
      <c r="L8" s="337"/>
      <c r="M8" s="336"/>
      <c r="N8" s="339"/>
    </row>
    <row r="9" spans="2:14" ht="15" customHeight="1" x14ac:dyDescent="0.2">
      <c r="C9" s="335"/>
      <c r="D9" s="336"/>
      <c r="E9" s="337"/>
      <c r="F9" s="337"/>
      <c r="G9" s="337"/>
      <c r="H9" s="336"/>
      <c r="I9" s="336"/>
      <c r="J9" s="338"/>
      <c r="K9" s="449"/>
      <c r="L9" s="386"/>
      <c r="M9" s="386"/>
      <c r="N9" s="339"/>
    </row>
    <row r="10" spans="2:14" ht="15" customHeight="1" x14ac:dyDescent="0.2">
      <c r="C10" s="335"/>
      <c r="D10" s="338" t="str">
        <f>Project!$B$10</f>
        <v>Project duration (months)</v>
      </c>
      <c r="E10" s="338"/>
      <c r="F10" s="515">
        <f>IF(Project!$C$10=0,"",Project!$C$10)</f>
        <v>10</v>
      </c>
      <c r="G10" s="515"/>
      <c r="H10" s="515"/>
      <c r="I10" s="336"/>
      <c r="J10" s="338" t="str">
        <f>Technology!$B$32</f>
        <v>Functional unit (FU)</v>
      </c>
      <c r="K10" s="450" t="str">
        <f>IF(Technology!$C$32=0,"",Technology!$C$32)</f>
        <v>ton H2</v>
      </c>
      <c r="L10" s="387"/>
      <c r="M10" s="387"/>
      <c r="N10" s="340"/>
    </row>
    <row r="11" spans="2:14" ht="15" customHeight="1" x14ac:dyDescent="0.2">
      <c r="C11" s="335"/>
      <c r="D11" s="336"/>
      <c r="E11" s="337"/>
      <c r="F11" s="337"/>
      <c r="G11" s="337"/>
      <c r="H11" s="336"/>
      <c r="I11" s="336"/>
      <c r="J11" s="338"/>
      <c r="K11" s="387"/>
      <c r="L11" s="387"/>
      <c r="M11" s="387"/>
      <c r="N11" s="340"/>
    </row>
    <row r="12" spans="2:14" ht="15" customHeight="1" x14ac:dyDescent="0.2">
      <c r="C12" s="335"/>
      <c r="D12" s="338" t="str">
        <f>Project!$B$11</f>
        <v>Total budget (€)</v>
      </c>
      <c r="E12" s="338"/>
      <c r="F12" s="513">
        <f>IF(Project!$C$11=0,"",Project!$C$11)</f>
        <v>3000000</v>
      </c>
      <c r="G12" s="513"/>
      <c r="H12" s="513"/>
      <c r="I12" s="388"/>
      <c r="J12" s="338" t="str">
        <f>Technology!$B$8</f>
        <v>Process description</v>
      </c>
      <c r="K12" s="514" t="str">
        <f>IF(Technology!$B$9=0,"",Technology!$B$9)</f>
        <v xml:space="preserve">Hydrogen is produced via a water electrolyzer (alkaline or PEM). Electricity is used to split water into hydrogen and oxygen. </v>
      </c>
      <c r="L12" s="514"/>
      <c r="M12" s="514"/>
      <c r="N12" s="340"/>
    </row>
    <row r="13" spans="2:14" ht="15" customHeight="1" x14ac:dyDescent="0.2">
      <c r="C13" s="335"/>
      <c r="D13" s="336"/>
      <c r="E13" s="337"/>
      <c r="F13" s="337"/>
      <c r="G13" s="337"/>
      <c r="H13" s="336"/>
      <c r="I13" s="336"/>
      <c r="J13" s="338"/>
      <c r="K13" s="514"/>
      <c r="L13" s="514"/>
      <c r="M13" s="514"/>
      <c r="N13" s="340"/>
    </row>
    <row r="14" spans="2:14" ht="15" customHeight="1" x14ac:dyDescent="0.2">
      <c r="C14" s="335"/>
      <c r="D14" s="338" t="str">
        <f>Project!$B$12</f>
        <v>Total number of person-months</v>
      </c>
      <c r="E14" s="338"/>
      <c r="F14" s="515">
        <f>IF(Project!$C$12=0,"",Project!$C$12)</f>
        <v>10</v>
      </c>
      <c r="G14" s="515"/>
      <c r="H14" s="515"/>
      <c r="I14" s="336"/>
      <c r="J14" s="338"/>
      <c r="K14" s="514"/>
      <c r="L14" s="514"/>
      <c r="M14" s="514"/>
      <c r="N14" s="340"/>
    </row>
    <row r="15" spans="2:14" ht="15" customHeight="1" x14ac:dyDescent="0.2">
      <c r="C15" s="335"/>
      <c r="D15" s="336"/>
      <c r="E15" s="337"/>
      <c r="F15" s="337"/>
      <c r="G15" s="337"/>
      <c r="H15" s="336"/>
      <c r="I15" s="336"/>
      <c r="J15" s="338"/>
      <c r="K15" s="514"/>
      <c r="L15" s="514"/>
      <c r="M15" s="514"/>
      <c r="N15" s="339"/>
    </row>
    <row r="16" spans="2:14" x14ac:dyDescent="0.2">
      <c r="C16" s="335"/>
      <c r="D16" s="338" t="str">
        <f>Project!$B$13</f>
        <v>Lead partner (coordinator)</v>
      </c>
      <c r="E16" s="338"/>
      <c r="F16" s="516" t="str">
        <f>IF(Project!$C$13=0,"",Project!$C$13)</f>
        <v>VITO</v>
      </c>
      <c r="G16" s="516"/>
      <c r="H16" s="516"/>
      <c r="I16" s="387"/>
      <c r="J16" s="338"/>
      <c r="K16" s="337"/>
      <c r="L16" s="337"/>
      <c r="M16" s="336"/>
      <c r="N16" s="339"/>
    </row>
    <row r="17" spans="3:14" x14ac:dyDescent="0.2">
      <c r="C17" s="335"/>
      <c r="D17" s="336"/>
      <c r="E17" s="337"/>
      <c r="F17" s="337"/>
      <c r="G17" s="337"/>
      <c r="H17" s="336"/>
      <c r="I17" s="336"/>
      <c r="J17" s="338" t="str">
        <f>Technology!$B$23</f>
        <v>Geographical scope</v>
      </c>
      <c r="K17" s="451" t="str">
        <f>IF(Technology!$C$23=0,"",Technology!$C$23)</f>
        <v>Flanders</v>
      </c>
      <c r="L17" s="337"/>
      <c r="M17" s="336"/>
      <c r="N17" s="339"/>
    </row>
    <row r="18" spans="3:14" x14ac:dyDescent="0.2">
      <c r="C18" s="335"/>
      <c r="D18" s="338" t="str">
        <f>Project!$B$14</f>
        <v>Other consortium partners</v>
      </c>
      <c r="E18" s="338"/>
      <c r="F18" s="516" t="str">
        <f>IF(Project!$C$14=0,"",Project!$C$14)</f>
        <v>Deloitte, UGent, UA, KUL</v>
      </c>
      <c r="G18" s="516"/>
      <c r="H18" s="516"/>
      <c r="I18" s="387"/>
      <c r="J18" s="338"/>
      <c r="K18" s="337"/>
      <c r="L18" s="337"/>
      <c r="M18" s="336"/>
      <c r="N18" s="339"/>
    </row>
    <row r="19" spans="3:14" ht="12" thickBot="1" x14ac:dyDescent="0.25">
      <c r="C19" s="341"/>
      <c r="D19" s="342"/>
      <c r="E19" s="342"/>
      <c r="F19" s="342"/>
      <c r="G19" s="342"/>
      <c r="H19" s="342"/>
      <c r="I19" s="342"/>
      <c r="J19" s="342"/>
      <c r="K19" s="342"/>
      <c r="L19" s="342"/>
      <c r="M19" s="342"/>
      <c r="N19" s="343"/>
    </row>
    <row r="21" spans="3:14" ht="12" thickBot="1" x14ac:dyDescent="0.25"/>
    <row r="22" spans="3:14" x14ac:dyDescent="0.2">
      <c r="C22" s="521" t="s">
        <v>599</v>
      </c>
      <c r="D22" s="522"/>
      <c r="E22" s="344"/>
      <c r="F22" s="344"/>
      <c r="G22" s="344"/>
      <c r="H22" s="344"/>
      <c r="I22" s="344"/>
      <c r="J22" s="344"/>
      <c r="K22" s="344"/>
      <c r="L22" s="344"/>
      <c r="M22" s="344"/>
      <c r="N22" s="345"/>
    </row>
    <row r="23" spans="3:14" x14ac:dyDescent="0.2">
      <c r="C23" s="335"/>
      <c r="D23" s="336"/>
      <c r="E23" s="336"/>
      <c r="F23" s="336"/>
      <c r="G23" s="336"/>
      <c r="H23" s="336"/>
      <c r="I23" s="336"/>
      <c r="J23" s="336"/>
      <c r="K23" s="336"/>
      <c r="L23" s="336"/>
      <c r="M23" s="336"/>
      <c r="N23" s="339"/>
    </row>
    <row r="24" spans="3:14" x14ac:dyDescent="0.2">
      <c r="C24" s="335"/>
      <c r="D24" s="338" t="s">
        <v>600</v>
      </c>
      <c r="E24" s="336"/>
      <c r="F24" s="336"/>
      <c r="G24" s="336"/>
      <c r="H24" s="336"/>
      <c r="I24" s="336"/>
      <c r="J24" s="336"/>
      <c r="K24" s="336"/>
      <c r="L24" s="336"/>
      <c r="M24" s="336"/>
      <c r="N24" s="339"/>
    </row>
    <row r="25" spans="3:14" x14ac:dyDescent="0.2">
      <c r="C25" s="335"/>
      <c r="D25" s="504" t="s">
        <v>601</v>
      </c>
      <c r="E25" s="336"/>
      <c r="F25" s="336"/>
      <c r="G25" s="336"/>
      <c r="H25" s="336"/>
      <c r="I25" s="336"/>
      <c r="J25" s="336"/>
      <c r="K25" s="336"/>
      <c r="L25" s="336"/>
      <c r="M25" s="336"/>
      <c r="N25" s="339"/>
    </row>
    <row r="26" spans="3:14" ht="12" thickBot="1" x14ac:dyDescent="0.25">
      <c r="C26" s="341"/>
      <c r="D26" s="342"/>
      <c r="E26" s="342"/>
      <c r="F26" s="342"/>
      <c r="G26" s="342"/>
      <c r="H26" s="342"/>
      <c r="I26" s="342"/>
      <c r="J26" s="342"/>
      <c r="K26" s="342"/>
      <c r="L26" s="342"/>
      <c r="M26" s="342"/>
      <c r="N26" s="343"/>
    </row>
    <row r="28" spans="3:14" ht="12" thickBot="1" x14ac:dyDescent="0.25"/>
    <row r="29" spans="3:14" x14ac:dyDescent="0.2">
      <c r="C29" s="346" t="s">
        <v>602</v>
      </c>
      <c r="D29" s="347"/>
      <c r="E29" s="348"/>
      <c r="F29" s="348"/>
      <c r="G29" s="348"/>
      <c r="H29" s="333"/>
      <c r="I29" s="333"/>
      <c r="J29" s="333"/>
      <c r="K29" s="333"/>
      <c r="L29" s="333"/>
      <c r="M29" s="333"/>
      <c r="N29" s="334"/>
    </row>
    <row r="30" spans="3:14" x14ac:dyDescent="0.2">
      <c r="C30" s="335"/>
      <c r="D30" s="336"/>
      <c r="E30" s="336"/>
      <c r="F30" s="336"/>
      <c r="G30" s="336"/>
      <c r="H30" s="336"/>
      <c r="I30" s="336"/>
      <c r="J30" s="336"/>
      <c r="K30" s="336"/>
      <c r="L30" s="336"/>
      <c r="M30" s="336"/>
      <c r="N30" s="339"/>
    </row>
    <row r="31" spans="3:14" x14ac:dyDescent="0.2">
      <c r="C31" s="335"/>
      <c r="D31" s="389" t="s">
        <v>603</v>
      </c>
      <c r="E31" s="390"/>
      <c r="F31" s="434" t="str">
        <f>$D$25</f>
        <v xml:space="preserve">1. Pathway 1 </v>
      </c>
      <c r="G31" s="391"/>
      <c r="H31" s="432" t="str">
        <f>'Pathway definition and results'!$E$34</f>
        <v xml:space="preserve">1. Pathway 1 </v>
      </c>
      <c r="I31" s="432" t="str">
        <f>'Pathway definition and results'!$F$34</f>
        <v>2. Pathway 2</v>
      </c>
      <c r="J31" s="432" t="str">
        <f>'Pathway definition and results'!$G$34</f>
        <v>3. Pathway 3</v>
      </c>
      <c r="K31" s="433" t="str">
        <f>'Pathway definition and results'!$H$34</f>
        <v xml:space="preserve">4. Pathway 4 </v>
      </c>
      <c r="L31" s="338"/>
      <c r="M31" s="336"/>
      <c r="N31" s="339"/>
    </row>
    <row r="32" spans="3:14" x14ac:dyDescent="0.2">
      <c r="C32" s="335"/>
      <c r="D32" s="392" t="s">
        <v>628</v>
      </c>
      <c r="E32" s="457"/>
      <c r="F32" s="435" t="str" cm="1">
        <f t="array" ref="F32">INDEX($H$32:$K$37,1,IF(F31=H31,1,IF(F31=I31,2,IF(F31=J31,3,4))))</f>
        <v>-</v>
      </c>
      <c r="G32" s="393"/>
      <c r="H32" s="426" t="str">
        <f>IF('Pathway definition and results'!E44=0,"-",'Pathway definition and results'!E44)</f>
        <v>-</v>
      </c>
      <c r="I32" s="426" t="str">
        <f>IF('Pathway definition and results'!F44=0,"-",'Pathway definition and results'!F44)</f>
        <v>-</v>
      </c>
      <c r="J32" s="426" t="str">
        <f>IF('Pathway definition and results'!G44=0,"-",'Pathway definition and results'!G44)</f>
        <v>-</v>
      </c>
      <c r="K32" s="427" t="str">
        <f>IF('Pathway definition and results'!H44=0,"-",'Pathway definition and results'!H44)</f>
        <v>-</v>
      </c>
      <c r="L32" s="349"/>
      <c r="M32" s="336"/>
      <c r="N32" s="339"/>
    </row>
    <row r="33" spans="3:14" x14ac:dyDescent="0.2">
      <c r="C33" s="335"/>
      <c r="D33" s="394" t="s">
        <v>629</v>
      </c>
      <c r="E33" s="458"/>
      <c r="F33" s="436" t="str" cm="1">
        <f t="array" ref="F33">INDEX($H$32:$K$37,2,IF(F31=H31,1,IF(F31=I31,2,IF(F31=J31,3,4))))</f>
        <v>-</v>
      </c>
      <c r="G33" s="395"/>
      <c r="H33" s="428" t="str">
        <f>IF('Pathway definition and results'!E45=0,"-",'Pathway definition and results'!E45)</f>
        <v>-</v>
      </c>
      <c r="I33" s="428" t="str">
        <f>IF('Pathway definition and results'!F45=0,"-",'Pathway definition and results'!F45)</f>
        <v>-</v>
      </c>
      <c r="J33" s="428" t="str">
        <f>IF('Pathway definition and results'!G45=0,"-",'Pathway definition and results'!G45)</f>
        <v>-</v>
      </c>
      <c r="K33" s="429" t="str">
        <f>IF('Pathway definition and results'!H45=0,"-",'Pathway definition and results'!H45)</f>
        <v>-</v>
      </c>
      <c r="L33" s="349"/>
      <c r="M33" s="336"/>
      <c r="N33" s="339"/>
    </row>
    <row r="34" spans="3:14" x14ac:dyDescent="0.2">
      <c r="C34" s="335"/>
      <c r="D34" s="394" t="s">
        <v>630</v>
      </c>
      <c r="E34" s="458"/>
      <c r="F34" s="436" t="str" cm="1">
        <f t="array" ref="F34">INDEX($H$32:$K$37,3,IF(F31=H31,1,IF(F31=I31,2,IF(F31=J31,3,4))))</f>
        <v>-</v>
      </c>
      <c r="G34" s="395"/>
      <c r="H34" s="428" t="str">
        <f>IF('Pathway definition and results'!E46=0,"-",'Pathway definition and results'!E46)</f>
        <v>-</v>
      </c>
      <c r="I34" s="428" t="str">
        <f>IF('Pathway definition and results'!F46=0,"-",'Pathway definition and results'!F46)</f>
        <v>-</v>
      </c>
      <c r="J34" s="428" t="str">
        <f>IF('Pathway definition and results'!G46=0,"-",'Pathway definition and results'!G46)</f>
        <v>-</v>
      </c>
      <c r="K34" s="429" t="str">
        <f>IF('Pathway definition and results'!H46=0,"-",'Pathway definition and results'!H46)</f>
        <v>-</v>
      </c>
      <c r="L34" s="349"/>
      <c r="M34" s="336"/>
      <c r="N34" s="339"/>
    </row>
    <row r="35" spans="3:14" x14ac:dyDescent="0.2">
      <c r="C35" s="335"/>
      <c r="D35" s="394" t="s">
        <v>631</v>
      </c>
      <c r="E35" s="458"/>
      <c r="F35" s="436" t="str" cm="1">
        <f t="array" ref="F35">INDEX($H$32:$K$37,4,IF(F31=H31,1,IF(F31=I31,2,IF(F31=J31,3,4))))</f>
        <v>-</v>
      </c>
      <c r="G35" s="395"/>
      <c r="H35" s="428" t="str">
        <f>IF('Pathway definition and results'!E47=0,"-",'Pathway definition and results'!E47)</f>
        <v>-</v>
      </c>
      <c r="I35" s="428" t="str">
        <f>IF('Pathway definition and results'!F47=0,"-",'Pathway definition and results'!F47)</f>
        <v>-</v>
      </c>
      <c r="J35" s="428" t="str">
        <f>IF('Pathway definition and results'!G47=0,"-",'Pathway definition and results'!G47)</f>
        <v>-</v>
      </c>
      <c r="K35" s="429" t="str">
        <f>IF('Pathway definition and results'!H47=0,"-",'Pathway definition and results'!H47)</f>
        <v>-</v>
      </c>
      <c r="L35" s="349"/>
      <c r="M35" s="336"/>
      <c r="N35" s="339"/>
    </row>
    <row r="36" spans="3:14" x14ac:dyDescent="0.2">
      <c r="C36" s="335"/>
      <c r="D36" s="394" t="s">
        <v>632</v>
      </c>
      <c r="E36" s="458"/>
      <c r="F36" s="436" t="str" cm="1">
        <f t="array" ref="F36">INDEX($H$32:$K$37,5,IF(F31=H31,1,IF(F31=I31,2,IF(F31=J31,3,4))))</f>
        <v>-</v>
      </c>
      <c r="G36" s="395"/>
      <c r="H36" s="428" t="str">
        <f>IF('Pathway definition and results'!E48=0,"-",'Pathway definition and results'!E48)</f>
        <v>-</v>
      </c>
      <c r="I36" s="428" t="str">
        <f>IF('Pathway definition and results'!F48=0,"-",'Pathway definition and results'!F48)</f>
        <v>-</v>
      </c>
      <c r="J36" s="428" t="str">
        <f>IF('Pathway definition and results'!G48=0,"-",'Pathway definition and results'!G48)</f>
        <v>-</v>
      </c>
      <c r="K36" s="429" t="str">
        <f>IF('Pathway definition and results'!H48=0,"-",'Pathway definition and results'!H48)</f>
        <v>-</v>
      </c>
      <c r="L36" s="349"/>
      <c r="M36" s="336"/>
      <c r="N36" s="339"/>
    </row>
    <row r="37" spans="3:14" x14ac:dyDescent="0.2">
      <c r="C37" s="335"/>
      <c r="D37" s="396" t="s">
        <v>633</v>
      </c>
      <c r="E37" s="459"/>
      <c r="F37" s="437" cm="1">
        <f t="array" ref="F37">INDEX($H$32:$K$37,6,IF(F31=H31,1,IF(F31=I31,2,IF(F31=J31,3,4))))</f>
        <v>0.12</v>
      </c>
      <c r="G37" s="397"/>
      <c r="H37" s="430">
        <f>IF('Pathway definition and results'!E49=0,"-",'Pathway definition and results'!E49)</f>
        <v>0.12</v>
      </c>
      <c r="I37" s="430" t="str">
        <f>IF('Pathway definition and results'!F49=0,"-",'Pathway definition and results'!F49)</f>
        <v>-</v>
      </c>
      <c r="J37" s="430" t="str">
        <f>IF('Pathway definition and results'!G49=0,"-",'Pathway definition and results'!G49)</f>
        <v>-</v>
      </c>
      <c r="K37" s="431" t="str">
        <f>IF('Pathway definition and results'!H49=0,"-",'Pathway definition and results'!H49)</f>
        <v>-</v>
      </c>
      <c r="L37" s="349"/>
      <c r="M37" s="336"/>
      <c r="N37" s="339"/>
    </row>
    <row r="38" spans="3:14" ht="12" thickBot="1" x14ac:dyDescent="0.25">
      <c r="C38" s="341"/>
      <c r="D38" s="342"/>
      <c r="E38" s="342"/>
      <c r="F38" s="342"/>
      <c r="G38" s="342"/>
      <c r="H38" s="342"/>
      <c r="I38" s="342"/>
      <c r="J38" s="342"/>
      <c r="K38" s="342"/>
      <c r="L38" s="342"/>
      <c r="M38" s="342"/>
      <c r="N38" s="343"/>
    </row>
    <row r="40" spans="3:14" ht="12" thickBot="1" x14ac:dyDescent="0.25"/>
    <row r="41" spans="3:14" x14ac:dyDescent="0.2">
      <c r="C41" s="524" t="s">
        <v>604</v>
      </c>
      <c r="D41" s="525"/>
      <c r="E41" s="350"/>
      <c r="F41" s="350"/>
      <c r="G41" s="350"/>
      <c r="H41" s="350"/>
      <c r="I41" s="350"/>
      <c r="J41" s="350"/>
      <c r="K41" s="350"/>
      <c r="L41" s="350"/>
      <c r="M41" s="350"/>
      <c r="N41" s="351"/>
    </row>
    <row r="42" spans="3:14" x14ac:dyDescent="0.2">
      <c r="C42" s="274"/>
      <c r="D42" s="271"/>
      <c r="E42" s="271"/>
      <c r="F42" s="271"/>
      <c r="G42" s="271"/>
      <c r="H42" s="271"/>
      <c r="I42" s="271"/>
      <c r="J42" s="271"/>
      <c r="K42" s="271"/>
      <c r="L42" s="271"/>
      <c r="M42" s="271"/>
      <c r="N42" s="275"/>
    </row>
    <row r="43" spans="3:14" ht="11.4" customHeight="1" x14ac:dyDescent="0.2">
      <c r="C43" s="274"/>
      <c r="D43" s="526">
        <f>IFERROR(F67,0)</f>
        <v>0</v>
      </c>
      <c r="E43" s="271"/>
      <c r="F43" s="271"/>
      <c r="G43" s="271"/>
      <c r="H43" s="271"/>
      <c r="I43" s="271"/>
      <c r="J43" s="271"/>
      <c r="K43" s="518">
        <f>IFERROR(F70,0)</f>
        <v>9250278.8265306111</v>
      </c>
      <c r="L43" s="518"/>
      <c r="M43" s="518"/>
      <c r="N43" s="275"/>
    </row>
    <row r="44" spans="3:14" ht="11.4" customHeight="1" x14ac:dyDescent="0.2">
      <c r="C44" s="274"/>
      <c r="D44" s="526"/>
      <c r="E44" s="271"/>
      <c r="F44" s="271"/>
      <c r="G44" s="271"/>
      <c r="H44" s="271"/>
      <c r="I44" s="271"/>
      <c r="J44" s="271"/>
      <c r="K44" s="518"/>
      <c r="L44" s="518"/>
      <c r="M44" s="518"/>
      <c r="N44" s="275"/>
    </row>
    <row r="45" spans="3:14" ht="11.4" customHeight="1" x14ac:dyDescent="0.2">
      <c r="C45" s="274"/>
      <c r="D45" s="526"/>
      <c r="E45" s="271"/>
      <c r="F45" s="271"/>
      <c r="G45" s="271"/>
      <c r="H45" s="271"/>
      <c r="I45" s="271"/>
      <c r="J45" s="271"/>
      <c r="K45" s="518"/>
      <c r="L45" s="518"/>
      <c r="M45" s="518"/>
      <c r="N45" s="275"/>
    </row>
    <row r="46" spans="3:14" ht="11.4" customHeight="1" x14ac:dyDescent="0.2">
      <c r="C46" s="274"/>
      <c r="D46" s="526"/>
      <c r="E46" s="271"/>
      <c r="F46" s="271"/>
      <c r="G46" s="271"/>
      <c r="H46" s="271"/>
      <c r="I46" s="271"/>
      <c r="J46" s="271"/>
      <c r="K46" s="518"/>
      <c r="L46" s="518"/>
      <c r="M46" s="518"/>
      <c r="N46" s="275"/>
    </row>
    <row r="47" spans="3:14" ht="11.4" customHeight="1" x14ac:dyDescent="0.2">
      <c r="C47" s="274"/>
      <c r="D47" s="526"/>
      <c r="E47" s="271"/>
      <c r="F47" s="271"/>
      <c r="G47" s="271"/>
      <c r="H47" s="271"/>
      <c r="I47" s="271"/>
      <c r="J47" s="271"/>
      <c r="K47" s="518"/>
      <c r="L47" s="518"/>
      <c r="M47" s="518"/>
      <c r="N47" s="275"/>
    </row>
    <row r="48" spans="3:14" ht="11.4" customHeight="1" x14ac:dyDescent="0.2">
      <c r="C48" s="274"/>
      <c r="D48" s="452"/>
      <c r="E48" s="271"/>
      <c r="F48" s="271"/>
      <c r="G48" s="271"/>
      <c r="H48" s="271"/>
      <c r="I48" s="271"/>
      <c r="J48" s="271"/>
      <c r="K48" s="454"/>
      <c r="L48" s="454"/>
      <c r="M48" s="454"/>
      <c r="N48" s="275"/>
    </row>
    <row r="49" spans="3:15" x14ac:dyDescent="0.2">
      <c r="C49" s="274"/>
      <c r="D49" s="453" t="s">
        <v>605</v>
      </c>
      <c r="E49" s="271"/>
      <c r="F49" s="271"/>
      <c r="G49" s="271"/>
      <c r="H49" s="271"/>
      <c r="I49" s="271"/>
      <c r="J49" s="271"/>
      <c r="K49" s="517" t="s">
        <v>606</v>
      </c>
      <c r="L49" s="517"/>
      <c r="M49" s="517"/>
      <c r="N49" s="275"/>
    </row>
    <row r="50" spans="3:15" x14ac:dyDescent="0.2">
      <c r="C50" s="274"/>
      <c r="D50" s="353"/>
      <c r="E50" s="271"/>
      <c r="F50" s="271"/>
      <c r="G50" s="271"/>
      <c r="H50" s="271"/>
      <c r="I50" s="271"/>
      <c r="J50" s="271"/>
      <c r="K50" s="353"/>
      <c r="L50" s="353"/>
      <c r="M50" s="353"/>
      <c r="N50" s="275"/>
    </row>
    <row r="51" spans="3:15" ht="11.4" customHeight="1" x14ac:dyDescent="0.2">
      <c r="C51" s="274"/>
      <c r="D51" s="519" t="str">
        <f>"The Interal Rate of Return (IRR) for " &amp; MID(F62,4,9) &amp; " is " &amp; TEXT(D43,"0,0%") &amp; "."
&amp; " The IRR is a metric used in financial analysis to estimate the profitability of potential investments. The IRR is a discount rate that makes the net present value (NPV) of all cash flows equal to zero in a discounted cash flow analysis."</f>
        <v>The Interal Rate of Return (IRR) for Pathway 1 is 00%. The IRR is a metric used in financial analysis to estimate the profitability of potential investments. The IRR is a discount rate that makes the net present value (NPV) of all cash flows equal to zero in a discounted cash flow analysis.</v>
      </c>
      <c r="E51" s="271"/>
      <c r="F51" s="271"/>
      <c r="G51" s="271"/>
      <c r="H51" s="271"/>
      <c r="I51" s="271"/>
      <c r="J51" s="271"/>
      <c r="K51" s="519" t="str">
        <f>"The total manufacturing cost (in €/yr) for " &amp; MID(F62,4,9) &amp; " is " &amp; TEXT(K43,"#.##0,00") &amp; " €/yr. This represents the sum of the total operational expenditures for one year."</f>
        <v>The total manufacturing cost (in €/yr) for Pathway 1 is 9250278.82653 €/yr. This represents the sum of the total operational expenditures for one year.</v>
      </c>
      <c r="L51" s="519"/>
      <c r="M51" s="519"/>
      <c r="N51" s="275"/>
    </row>
    <row r="52" spans="3:15" x14ac:dyDescent="0.2">
      <c r="C52" s="274"/>
      <c r="D52" s="519"/>
      <c r="E52" s="271"/>
      <c r="F52" s="271"/>
      <c r="G52" s="271"/>
      <c r="H52" s="271"/>
      <c r="I52" s="271"/>
      <c r="J52" s="271"/>
      <c r="K52" s="519"/>
      <c r="L52" s="519"/>
      <c r="M52" s="519"/>
      <c r="N52" s="275"/>
    </row>
    <row r="53" spans="3:15" x14ac:dyDescent="0.2">
      <c r="C53" s="274"/>
      <c r="D53" s="519"/>
      <c r="E53" s="271"/>
      <c r="F53" s="271"/>
      <c r="G53" s="271"/>
      <c r="H53" s="271"/>
      <c r="I53" s="271"/>
      <c r="J53" s="271"/>
      <c r="K53" s="519"/>
      <c r="L53" s="519"/>
      <c r="M53" s="519"/>
      <c r="N53" s="275"/>
    </row>
    <row r="54" spans="3:15" x14ac:dyDescent="0.2">
      <c r="C54" s="274"/>
      <c r="D54" s="519"/>
      <c r="E54" s="271"/>
      <c r="F54" s="271"/>
      <c r="G54" s="271"/>
      <c r="H54" s="271"/>
      <c r="I54" s="271"/>
      <c r="J54" s="271"/>
      <c r="K54" s="519"/>
      <c r="L54" s="519"/>
      <c r="M54" s="519"/>
      <c r="N54" s="275"/>
    </row>
    <row r="55" spans="3:15" x14ac:dyDescent="0.2">
      <c r="C55" s="274"/>
      <c r="D55" s="519"/>
      <c r="E55" s="271"/>
      <c r="F55" s="271"/>
      <c r="G55" s="271"/>
      <c r="H55" s="271"/>
      <c r="I55" s="271"/>
      <c r="J55" s="271"/>
      <c r="K55" s="519"/>
      <c r="L55" s="519"/>
      <c r="M55" s="519"/>
      <c r="N55" s="275"/>
    </row>
    <row r="56" spans="3:15" x14ac:dyDescent="0.2">
      <c r="C56" s="274"/>
      <c r="D56" s="519"/>
      <c r="E56" s="271"/>
      <c r="F56" s="271"/>
      <c r="G56" s="271"/>
      <c r="H56" s="271"/>
      <c r="I56" s="271"/>
      <c r="J56" s="271"/>
      <c r="K56" s="519"/>
      <c r="L56" s="519"/>
      <c r="M56" s="519"/>
      <c r="N56" s="275"/>
    </row>
    <row r="57" spans="3:15" ht="12" thickBot="1" x14ac:dyDescent="0.25">
      <c r="C57" s="352"/>
      <c r="D57" s="292"/>
      <c r="E57" s="292"/>
      <c r="F57" s="292"/>
      <c r="G57" s="292"/>
      <c r="H57" s="292"/>
      <c r="I57" s="292"/>
      <c r="J57" s="292"/>
      <c r="K57" s="292"/>
      <c r="L57" s="292"/>
      <c r="M57" s="292"/>
      <c r="N57" s="293"/>
    </row>
    <row r="59" spans="3:15" ht="12" thickBot="1" x14ac:dyDescent="0.25"/>
    <row r="60" spans="3:15" x14ac:dyDescent="0.2">
      <c r="C60" s="346" t="s">
        <v>607</v>
      </c>
      <c r="D60" s="346"/>
      <c r="E60" s="347"/>
      <c r="F60" s="346"/>
      <c r="G60" s="347"/>
      <c r="H60" s="344"/>
      <c r="I60" s="344"/>
      <c r="J60" s="344"/>
      <c r="K60" s="344"/>
      <c r="L60" s="344"/>
      <c r="M60" s="344"/>
      <c r="N60" s="345"/>
      <c r="O60" s="354"/>
    </row>
    <row r="61" spans="3:15" x14ac:dyDescent="0.2">
      <c r="C61" s="335"/>
      <c r="D61" s="336"/>
      <c r="E61" s="336"/>
      <c r="F61" s="336"/>
      <c r="G61" s="336"/>
      <c r="H61" s="336"/>
      <c r="I61" s="336"/>
      <c r="J61" s="336"/>
      <c r="K61" s="336"/>
      <c r="L61" s="336"/>
      <c r="M61" s="336"/>
      <c r="N61" s="339"/>
      <c r="O61" s="354"/>
    </row>
    <row r="62" spans="3:15" x14ac:dyDescent="0.2">
      <c r="C62" s="335"/>
      <c r="D62" s="398" t="s">
        <v>604</v>
      </c>
      <c r="E62" s="399"/>
      <c r="F62" s="463" t="str">
        <f>$D$25</f>
        <v xml:space="preserve">1. Pathway 1 </v>
      </c>
      <c r="G62" s="432"/>
      <c r="H62" s="432" t="str">
        <f>'Pathway definition and results'!$E$34</f>
        <v xml:space="preserve">1. Pathway 1 </v>
      </c>
      <c r="I62" s="432" t="str">
        <f>'Pathway definition and results'!$F$34</f>
        <v>2. Pathway 2</v>
      </c>
      <c r="J62" s="432" t="str">
        <f>'Pathway definition and results'!$G$34</f>
        <v>3. Pathway 3</v>
      </c>
      <c r="K62" s="433" t="str">
        <f>'Pathway definition and results'!$H$34</f>
        <v xml:space="preserve">4. Pathway 4 </v>
      </c>
      <c r="L62" s="338"/>
      <c r="M62" s="336"/>
      <c r="N62" s="339"/>
      <c r="O62" s="354"/>
    </row>
    <row r="63" spans="3:15" x14ac:dyDescent="0.2">
      <c r="C63" s="335"/>
      <c r="D63" s="400" t="s">
        <v>638</v>
      </c>
      <c r="E63" s="438"/>
      <c r="F63" s="438" cm="1">
        <f t="array" ref="F63">INDEX($H$63:$K$74,1,IF($F$62=$H$62,1,IF($F$62=$I$62,2,IF($F$62=$J$62,3,4))))</f>
        <v>10822372.44897959</v>
      </c>
      <c r="G63" s="439"/>
      <c r="H63" s="439">
        <f>'Pathway definition and results'!E50</f>
        <v>10822372.44897959</v>
      </c>
      <c r="I63" s="439">
        <f>'Pathway definition and results'!F50</f>
        <v>0</v>
      </c>
      <c r="J63" s="439">
        <f>'Pathway definition and results'!G50</f>
        <v>0</v>
      </c>
      <c r="K63" s="440">
        <f>'Pathway definition and results'!H50</f>
        <v>0</v>
      </c>
      <c r="L63" s="355"/>
      <c r="M63" s="336"/>
      <c r="N63" s="339"/>
      <c r="O63" s="354"/>
    </row>
    <row r="64" spans="3:15" x14ac:dyDescent="0.2">
      <c r="C64" s="335"/>
      <c r="D64" s="403" t="s">
        <v>643</v>
      </c>
      <c r="E64" s="441"/>
      <c r="F64" s="441" cm="1">
        <f t="array" ref="F64">INDEX($H$63:$K$74,2,IF($F$62=$H$62,1,IF($F$62=$I$62,2,IF($F$62=$J$62,3,4))))</f>
        <v>9250278.8265306111</v>
      </c>
      <c r="G64" s="442"/>
      <c r="H64" s="442">
        <f>'Pathway definition and results'!E51</f>
        <v>9250278.8265306111</v>
      </c>
      <c r="I64" s="442">
        <f>'Pathway definition and results'!F51</f>
        <v>0</v>
      </c>
      <c r="J64" s="442">
        <f>'Pathway definition and results'!G51</f>
        <v>0</v>
      </c>
      <c r="K64" s="443">
        <f>'Pathway definition and results'!H51</f>
        <v>0</v>
      </c>
      <c r="L64" s="355"/>
      <c r="M64" s="336"/>
      <c r="N64" s="339"/>
      <c r="O64" s="354"/>
    </row>
    <row r="65" spans="3:15" x14ac:dyDescent="0.2">
      <c r="C65" s="335"/>
      <c r="D65" s="403" t="s">
        <v>644</v>
      </c>
      <c r="E65" s="441"/>
      <c r="F65" s="441" cm="1">
        <f t="array" ref="F65">INDEX($H$63:$K$74,3,IF($F$62=$H$62,1,IF($F$62=$I$62,2,IF($F$62=$J$62,3,4))))</f>
        <v>4308692.3673469387</v>
      </c>
      <c r="G65" s="442"/>
      <c r="H65" s="442">
        <f>'Pathway definition and results'!E52</f>
        <v>4308692.3673469387</v>
      </c>
      <c r="I65" s="442">
        <f>'Pathway definition and results'!F52</f>
        <v>0</v>
      </c>
      <c r="J65" s="442">
        <f>'Pathway definition and results'!G52</f>
        <v>0</v>
      </c>
      <c r="K65" s="443">
        <f>'Pathway definition and results'!H52</f>
        <v>0</v>
      </c>
      <c r="L65" s="355"/>
      <c r="M65" s="336"/>
      <c r="N65" s="339"/>
      <c r="O65" s="354"/>
    </row>
    <row r="66" spans="3:15" x14ac:dyDescent="0.2">
      <c r="C66" s="335"/>
      <c r="D66" s="403" t="s">
        <v>639</v>
      </c>
      <c r="E66" s="441"/>
      <c r="F66" s="441" cm="1">
        <f t="array" ref="F66">INDEX($H$63:$K$74,4,IF($F$62=$H$62,1,IF($F$62=$I$62,2,IF($F$62=$J$62,3,4))))</f>
        <v>-55507717.992026873</v>
      </c>
      <c r="G66" s="442"/>
      <c r="H66" s="442">
        <f>'Pathway definition and results'!E53</f>
        <v>-55507717.992026873</v>
      </c>
      <c r="I66" s="442">
        <f>'Pathway definition and results'!F53</f>
        <v>0</v>
      </c>
      <c r="J66" s="442">
        <f>'Pathway definition and results'!G53</f>
        <v>0</v>
      </c>
      <c r="K66" s="443">
        <f>'Pathway definition and results'!H53</f>
        <v>0</v>
      </c>
      <c r="L66" s="355"/>
      <c r="M66" s="336"/>
      <c r="N66" s="339"/>
      <c r="O66" s="354"/>
    </row>
    <row r="67" spans="3:15" x14ac:dyDescent="0.2">
      <c r="C67" s="335"/>
      <c r="D67" s="403" t="s">
        <v>640</v>
      </c>
      <c r="E67" s="407"/>
      <c r="F67" s="407" cm="1">
        <f t="array" ref="F67">INDEX($H$63:$K$74,5,IF($F$62=$H$62,1,IF($F$62=$I$62,2,IF($F$62=$J$62,3,4))))</f>
        <v>0</v>
      </c>
      <c r="G67" s="408"/>
      <c r="H67" s="408">
        <f>'Pathway definition and results'!E54</f>
        <v>0</v>
      </c>
      <c r="I67" s="408">
        <f>'Pathway definition and results'!F54</f>
        <v>0</v>
      </c>
      <c r="J67" s="408">
        <f>'Pathway definition and results'!G54</f>
        <v>0</v>
      </c>
      <c r="K67" s="409">
        <f>'Pathway definition and results'!H54</f>
        <v>0</v>
      </c>
      <c r="L67" s="317"/>
      <c r="M67" s="336"/>
      <c r="N67" s="339"/>
      <c r="O67" s="354"/>
    </row>
    <row r="68" spans="3:15" x14ac:dyDescent="0.2">
      <c r="C68" s="335"/>
      <c r="D68" s="403" t="s">
        <v>641</v>
      </c>
      <c r="E68" s="404"/>
      <c r="F68" s="404" cm="1">
        <f t="array" ref="F68">INDEX($H$63:$K$74,6,IF($F$62=$H$62,1,IF($F$62=$I$62,2,IF($F$62=$J$62,3,4))))</f>
        <v>30</v>
      </c>
      <c r="G68" s="405"/>
      <c r="H68" s="405">
        <f>'Pathway definition and results'!E55</f>
        <v>30</v>
      </c>
      <c r="I68" s="405">
        <f>'Pathway definition and results'!F55</f>
        <v>0</v>
      </c>
      <c r="J68" s="405">
        <f>'Pathway definition and results'!G55</f>
        <v>0</v>
      </c>
      <c r="K68" s="406">
        <f>'Pathway definition and results'!H55</f>
        <v>0</v>
      </c>
      <c r="L68" s="356"/>
      <c r="M68" s="336"/>
      <c r="N68" s="339"/>
      <c r="O68" s="354"/>
    </row>
    <row r="69" spans="3:15" x14ac:dyDescent="0.2">
      <c r="C69" s="335"/>
      <c r="D69" s="403" t="s">
        <v>642</v>
      </c>
      <c r="E69" s="404"/>
      <c r="F69" s="404" cm="1">
        <f t="array" ref="F69">INDEX($H$63:$K$74,7,IF($F$62=$H$62,1,IF($F$62=$I$62,2,IF($F$62=$J$62,3,4))))</f>
        <v>30</v>
      </c>
      <c r="G69" s="405"/>
      <c r="H69" s="405">
        <f>'Pathway definition and results'!E56</f>
        <v>30</v>
      </c>
      <c r="I69" s="405">
        <f>'Pathway definition and results'!F56</f>
        <v>0</v>
      </c>
      <c r="J69" s="405">
        <f>'Pathway definition and results'!G56</f>
        <v>0</v>
      </c>
      <c r="K69" s="406">
        <f>'Pathway definition and results'!H56</f>
        <v>0</v>
      </c>
      <c r="L69" s="356"/>
      <c r="M69" s="336"/>
      <c r="N69" s="339"/>
      <c r="O69" s="354"/>
    </row>
    <row r="70" spans="3:15" x14ac:dyDescent="0.2">
      <c r="C70" s="335"/>
      <c r="D70" s="403" t="s">
        <v>606</v>
      </c>
      <c r="E70" s="441"/>
      <c r="F70" s="441" cm="1">
        <f t="array" ref="F70">INDEX($H$63:$K$74,8,IF($F$62=$H$62,1,IF($F$62=$I$62,2,IF($F$62=$J$62,3,4))))</f>
        <v>9250278.8265306111</v>
      </c>
      <c r="G70" s="442"/>
      <c r="H70" s="442">
        <f>'Pathway definition and results'!E57</f>
        <v>9250278.8265306111</v>
      </c>
      <c r="I70" s="442">
        <f>'Pathway definition and results'!F57</f>
        <v>0</v>
      </c>
      <c r="J70" s="442">
        <f>'Pathway definition and results'!G57</f>
        <v>0</v>
      </c>
      <c r="K70" s="443">
        <f>'Pathway definition and results'!H57</f>
        <v>0</v>
      </c>
      <c r="L70" s="356"/>
      <c r="M70" s="336"/>
      <c r="N70" s="339"/>
      <c r="O70" s="354"/>
    </row>
    <row r="71" spans="3:15" x14ac:dyDescent="0.2">
      <c r="C71" s="335"/>
      <c r="D71" s="403" t="str">
        <f>"Levelized cost of product"  &amp; " " &amp; "(" &amp;'1. Pathway 1'!C143 &amp; ")"</f>
        <v>Levelized cost of product (€/ton H2)</v>
      </c>
      <c r="E71" s="441"/>
      <c r="F71" s="441" cm="1">
        <f t="array" ref="F71">INDEX($H$63:$K$74,9,IF($F$62=$H$62,1,IF($F$62=$I$62,2,IF($F$62=$J$62,3,4))))</f>
        <v>10698.319835472179</v>
      </c>
      <c r="G71" s="442"/>
      <c r="H71" s="442">
        <f>'Pathway definition and results'!E58</f>
        <v>10698.319835472179</v>
      </c>
      <c r="I71" s="442">
        <f>'Pathway definition and results'!F58</f>
        <v>0</v>
      </c>
      <c r="J71" s="442">
        <f>'Pathway definition and results'!G58</f>
        <v>0</v>
      </c>
      <c r="K71" s="443">
        <f>'Pathway definition and results'!H58</f>
        <v>0</v>
      </c>
      <c r="L71" s="356"/>
      <c r="M71" s="336"/>
      <c r="N71" s="339"/>
      <c r="O71" s="354"/>
    </row>
    <row r="72" spans="3:15" x14ac:dyDescent="0.2">
      <c r="C72" s="335"/>
      <c r="D72" s="410" t="str">
        <f>"CAPEX"  &amp; " " &amp; "(" &amp;'1. Pathway 1'!C144 &amp; ")"</f>
        <v>CAPEX (€/ton H2)</v>
      </c>
      <c r="E72" s="441"/>
      <c r="F72" s="441" cm="1">
        <f t="array" ref="F72">INDEX($H$63:$K$74,10,IF($F$62=$H$62,1,IF($F$62=$I$62,2,IF($F$62=$J$62,3,4))))</f>
        <v>1438.592307382291</v>
      </c>
      <c r="G72" s="442"/>
      <c r="H72" s="442">
        <f>'Pathway definition and results'!E59</f>
        <v>1438.592307382291</v>
      </c>
      <c r="I72" s="442">
        <f>'Pathway definition and results'!F59</f>
        <v>0</v>
      </c>
      <c r="J72" s="442">
        <f>'Pathway definition and results'!G59</f>
        <v>0</v>
      </c>
      <c r="K72" s="443">
        <f>'Pathway definition and results'!H59</f>
        <v>0</v>
      </c>
      <c r="L72" s="356"/>
      <c r="M72" s="336"/>
      <c r="N72" s="339"/>
      <c r="O72" s="354"/>
    </row>
    <row r="73" spans="3:15" x14ac:dyDescent="0.2">
      <c r="C73" s="335"/>
      <c r="D73" s="410" t="str">
        <f>"OPEX" &amp; " " &amp; "(" &amp;'1. Pathway 1'!C145 &amp; ")"</f>
        <v>OPEX (€/ton H2)</v>
      </c>
      <c r="E73" s="441"/>
      <c r="F73" s="441" cm="1">
        <f t="array" ref="F73">INDEX($H$63:$K$74,11,IF($F$62=$H$62,1,IF($F$62=$I$62,2,IF($F$62=$J$62,3,4))))</f>
        <v>9259.7275280898884</v>
      </c>
      <c r="G73" s="442"/>
      <c r="H73" s="442">
        <f>'Pathway definition and results'!E60</f>
        <v>9259.7275280898884</v>
      </c>
      <c r="I73" s="442">
        <f>'Pathway definition and results'!F60</f>
        <v>0</v>
      </c>
      <c r="J73" s="442">
        <f>'Pathway definition and results'!G60</f>
        <v>0</v>
      </c>
      <c r="K73" s="443">
        <f>'Pathway definition and results'!H60</f>
        <v>0</v>
      </c>
      <c r="L73" s="356"/>
      <c r="M73" s="336"/>
      <c r="N73" s="339"/>
      <c r="O73" s="354"/>
    </row>
    <row r="74" spans="3:15" x14ac:dyDescent="0.2">
      <c r="C74" s="335"/>
      <c r="D74" s="411" t="str">
        <f>"Targeted product current market price" &amp; " " &amp; "(" &amp;'Data - economic'!E73 &amp; ")"</f>
        <v>Targeted product current market price (€/ton)</v>
      </c>
      <c r="E74" s="444"/>
      <c r="F74" s="444" cm="1">
        <f t="array" ref="F74">INDEX($H$63:$K$74,12,IF($F$62=$H$62,1,IF($F$62=$I$62,2,IF($F$62=$J$62,3,4))))</f>
        <v>2000</v>
      </c>
      <c r="G74" s="445"/>
      <c r="H74" s="445">
        <f>'Data - economic'!I73</f>
        <v>2000</v>
      </c>
      <c r="I74" s="445">
        <f>'Data - economic'!J73</f>
        <v>0</v>
      </c>
      <c r="J74" s="445">
        <f>'Data - economic'!K73</f>
        <v>0</v>
      </c>
      <c r="K74" s="446">
        <f>'Data - economic'!L73</f>
        <v>0</v>
      </c>
      <c r="L74" s="356"/>
      <c r="M74" s="336"/>
      <c r="N74" s="339"/>
      <c r="O74" s="354"/>
    </row>
    <row r="75" spans="3:15" ht="12" thickBot="1" x14ac:dyDescent="0.25">
      <c r="C75" s="341"/>
      <c r="D75" s="342"/>
      <c r="E75" s="342"/>
      <c r="F75" s="342"/>
      <c r="G75" s="342"/>
      <c r="H75" s="342"/>
      <c r="I75" s="342"/>
      <c r="J75" s="342"/>
      <c r="K75" s="342"/>
      <c r="L75" s="342"/>
      <c r="M75" s="342"/>
      <c r="N75" s="343"/>
      <c r="O75" s="354"/>
    </row>
    <row r="77" spans="3:15" ht="12" thickBot="1" x14ac:dyDescent="0.25"/>
    <row r="78" spans="3:15" x14ac:dyDescent="0.2">
      <c r="C78" s="346" t="s">
        <v>608</v>
      </c>
      <c r="D78" s="346"/>
      <c r="E78" s="344"/>
      <c r="F78" s="344"/>
      <c r="G78" s="344"/>
      <c r="H78" s="344"/>
      <c r="I78" s="344"/>
      <c r="J78" s="344"/>
      <c r="K78" s="344"/>
      <c r="L78" s="344"/>
      <c r="M78" s="344"/>
      <c r="N78" s="345"/>
    </row>
    <row r="79" spans="3:15" x14ac:dyDescent="0.2">
      <c r="C79" s="335"/>
      <c r="D79" s="336"/>
      <c r="E79" s="336"/>
      <c r="F79" s="336"/>
      <c r="G79" s="336"/>
      <c r="H79" s="336"/>
      <c r="I79" s="336"/>
      <c r="J79" s="336"/>
      <c r="K79" s="336"/>
      <c r="L79" s="336"/>
      <c r="M79" s="336"/>
      <c r="N79" s="339"/>
    </row>
    <row r="80" spans="3:15" ht="11.4" customHeight="1" x14ac:dyDescent="0.2">
      <c r="C80" s="335"/>
      <c r="D80" s="511">
        <f>IFERROR(F99,0)</f>
        <v>10.666985432584269</v>
      </c>
      <c r="E80" s="336"/>
      <c r="F80" s="511">
        <f>IFERROR(F101,0)</f>
        <v>0.53301456741573006</v>
      </c>
      <c r="G80" s="511"/>
      <c r="H80" s="511"/>
      <c r="I80" s="336"/>
      <c r="J80" s="336"/>
      <c r="K80" s="336"/>
      <c r="L80" s="336"/>
      <c r="M80" s="336"/>
      <c r="N80" s="339"/>
    </row>
    <row r="81" spans="3:14" ht="11.4" customHeight="1" x14ac:dyDescent="0.2">
      <c r="C81" s="335"/>
      <c r="D81" s="511"/>
      <c r="E81" s="336"/>
      <c r="F81" s="511"/>
      <c r="G81" s="511"/>
      <c r="H81" s="511"/>
      <c r="I81" s="336"/>
      <c r="J81" s="336"/>
      <c r="K81" s="336"/>
      <c r="L81" s="336"/>
      <c r="M81" s="336"/>
      <c r="N81" s="339"/>
    </row>
    <row r="82" spans="3:14" ht="11.4" customHeight="1" x14ac:dyDescent="0.2">
      <c r="C82" s="335"/>
      <c r="D82" s="511"/>
      <c r="E82" s="336"/>
      <c r="F82" s="511"/>
      <c r="G82" s="511"/>
      <c r="H82" s="511"/>
      <c r="I82" s="336"/>
      <c r="J82" s="336"/>
      <c r="K82" s="336"/>
      <c r="L82" s="336"/>
      <c r="M82" s="336"/>
      <c r="N82" s="339"/>
    </row>
    <row r="83" spans="3:14" ht="11.4" customHeight="1" x14ac:dyDescent="0.2">
      <c r="C83" s="335"/>
      <c r="D83" s="511"/>
      <c r="E83" s="336"/>
      <c r="F83" s="511"/>
      <c r="G83" s="511"/>
      <c r="H83" s="511"/>
      <c r="I83" s="336"/>
      <c r="J83" s="336"/>
      <c r="K83" s="336"/>
      <c r="L83" s="336"/>
      <c r="M83" s="336"/>
      <c r="N83" s="339"/>
    </row>
    <row r="84" spans="3:14" ht="11.4" customHeight="1" x14ac:dyDescent="0.2">
      <c r="C84" s="335"/>
      <c r="D84" s="511"/>
      <c r="E84" s="336"/>
      <c r="F84" s="511"/>
      <c r="G84" s="511"/>
      <c r="H84" s="511"/>
      <c r="I84" s="336"/>
      <c r="J84" s="336"/>
      <c r="K84" s="336"/>
      <c r="L84" s="336"/>
      <c r="M84" s="336"/>
      <c r="N84" s="339"/>
    </row>
    <row r="85" spans="3:14" ht="11.4" customHeight="1" x14ac:dyDescent="0.2">
      <c r="C85" s="335"/>
      <c r="D85" s="455"/>
      <c r="E85" s="336"/>
      <c r="F85" s="455"/>
      <c r="G85" s="455"/>
      <c r="I85" s="336"/>
      <c r="J85" s="336"/>
      <c r="K85" s="336"/>
      <c r="L85" s="336"/>
      <c r="M85" s="336"/>
      <c r="N85" s="339"/>
    </row>
    <row r="86" spans="3:14" x14ac:dyDescent="0.2">
      <c r="C86" s="335"/>
      <c r="D86" s="456" t="str">
        <f>"Net climate change impact (in ton CO2eq/" &amp; IF(K10="","FU",K10) &amp;")"</f>
        <v>Net climate change impact (in ton CO2eq/ton H2)</v>
      </c>
      <c r="E86" s="336"/>
      <c r="F86" s="510" t="str">
        <f>"CO2eq avoided compared to benchmark (in ton CO2eq/" &amp; IF(K10="","FU",K10) &amp;")"</f>
        <v>CO2eq avoided compared to benchmark (in ton CO2eq/ton H2)</v>
      </c>
      <c r="G86" s="510"/>
      <c r="H86" s="510"/>
      <c r="I86" s="336"/>
      <c r="J86" s="336"/>
      <c r="K86" s="336"/>
      <c r="L86" s="336"/>
      <c r="M86" s="336"/>
      <c r="N86" s="339"/>
    </row>
    <row r="87" spans="3:14" x14ac:dyDescent="0.2">
      <c r="C87" s="335"/>
      <c r="E87" s="336"/>
      <c r="I87" s="336"/>
      <c r="J87" s="336"/>
      <c r="K87" s="336"/>
      <c r="L87" s="336"/>
      <c r="M87" s="336"/>
      <c r="N87" s="339"/>
    </row>
    <row r="88" spans="3:14" ht="11.4" customHeight="1" x14ac:dyDescent="0.2">
      <c r="C88" s="335"/>
      <c r="D88" s="512" t="str">
        <f>"The net climate change impact (in ton CO2eq/" &amp; IF(K10="","FU",K10) &amp;") for " &amp; MID($F$98,4,9) &amp; " is " &amp; TEXT($D$80,"#.##0,00") &amp; " ton CO2eq/" &amp; IF(K10="","FU",K10) &amp; ". The net climate change impact is the potential net impact of all greenhouse gas (GHG) emissions emitted during the entire lifecycle of the product or service." &amp; " The yearly average potential impact is " &amp; TEXT(F100,"#.##0,00") &amp; " ton CO2eq/yr."</f>
        <v>The net climate change impact (in ton CO2eq/ton H2) for Pathway 1 is 10.66699 ton CO2eq/ton H2. The net climate change impact is the potential net impact of all greenhouse gas (GHG) emissions emitted during the entire lifecycle of the product or service. The yearly average potential impact is 10656.10075 ton CO2eq/yr.</v>
      </c>
      <c r="E88" s="336"/>
      <c r="F88" s="512" t="str">
        <f>"The CO2eq avoided compared to the benchmark (in ton CO2eq/" &amp; IF(K10="","FU",K10) &amp;") for " &amp; MID($F$98,4,9) &amp; " is " &amp; TEXT($F$80,"#.##0,00") &amp; " ton CO2eq/" &amp; IF(K10="","FU",K10) &amp; ". This represents the difference between the benchmark process inserted in the 'Technology' tab and the net climate change impact of the innovation which is included in the dashboard." &amp; " The yearly average CO2eq avoided compared to the benchmark is " &amp; TEXT(F102,"#.##0,00") &amp; " ton CO2eq/yr." &amp; " " &amp; "A negative value means that the benchmark has a lower climate change impact compared to the innovation"</f>
        <v>The CO2eq avoided compared to the benchmark (in ton CO2eq/ton H2) for Pathway 1 is .53301 ton CO2eq/ton H2. This represents the difference between the benchmark process inserted in the 'Technology' tab and the net climate change impact of the innovation which is included in the dashboard. The yearly average CO2eq avoided compared to the benchmark is 532.47068 ton CO2eq/yr. A negative value means that the benchmark has a lower climate change impact compared to the innovation</v>
      </c>
      <c r="G88" s="512"/>
      <c r="H88" s="512"/>
      <c r="I88" s="336"/>
      <c r="J88" s="336"/>
      <c r="K88" s="336"/>
      <c r="L88" s="336"/>
      <c r="M88" s="336"/>
      <c r="N88" s="339"/>
    </row>
    <row r="89" spans="3:14" x14ac:dyDescent="0.2">
      <c r="C89" s="335"/>
      <c r="D89" s="512"/>
      <c r="E89" s="336"/>
      <c r="F89" s="512"/>
      <c r="G89" s="512"/>
      <c r="H89" s="512"/>
      <c r="I89" s="336"/>
      <c r="J89" s="336"/>
      <c r="K89" s="336"/>
      <c r="L89" s="336"/>
      <c r="M89" s="336"/>
      <c r="N89" s="339"/>
    </row>
    <row r="90" spans="3:14" x14ac:dyDescent="0.2">
      <c r="C90" s="335"/>
      <c r="D90" s="512"/>
      <c r="E90" s="336"/>
      <c r="F90" s="512"/>
      <c r="G90" s="512"/>
      <c r="H90" s="512"/>
      <c r="I90" s="336"/>
      <c r="J90" s="336"/>
      <c r="K90" s="336"/>
      <c r="L90" s="336"/>
      <c r="M90" s="336"/>
      <c r="N90" s="339"/>
    </row>
    <row r="91" spans="3:14" x14ac:dyDescent="0.2">
      <c r="C91" s="335"/>
      <c r="D91" s="512"/>
      <c r="E91" s="336"/>
      <c r="F91" s="512"/>
      <c r="G91" s="512"/>
      <c r="H91" s="512"/>
      <c r="I91" s="336"/>
      <c r="J91" s="336"/>
      <c r="K91" s="336"/>
      <c r="L91" s="336"/>
      <c r="M91" s="336"/>
      <c r="N91" s="339"/>
    </row>
    <row r="92" spans="3:14" ht="45" customHeight="1" x14ac:dyDescent="0.2">
      <c r="C92" s="335"/>
      <c r="D92" s="512"/>
      <c r="E92" s="336"/>
      <c r="F92" s="512"/>
      <c r="G92" s="512"/>
      <c r="H92" s="512"/>
      <c r="I92" s="336"/>
      <c r="J92" s="336"/>
      <c r="K92" s="336"/>
      <c r="L92" s="336"/>
      <c r="M92" s="336"/>
      <c r="N92" s="339"/>
    </row>
    <row r="93" spans="3:14" ht="12" thickBot="1" x14ac:dyDescent="0.25">
      <c r="C93" s="341"/>
      <c r="D93" s="342"/>
      <c r="E93" s="342"/>
      <c r="F93" s="342"/>
      <c r="G93" s="342"/>
      <c r="H93" s="342"/>
      <c r="I93" s="342"/>
      <c r="J93" s="342"/>
      <c r="K93" s="342"/>
      <c r="L93" s="342"/>
      <c r="M93" s="342"/>
      <c r="N93" s="343"/>
    </row>
    <row r="95" spans="3:14" ht="12" thickBot="1" x14ac:dyDescent="0.25"/>
    <row r="96" spans="3:14" x14ac:dyDescent="0.2">
      <c r="C96" s="346" t="s">
        <v>609</v>
      </c>
      <c r="D96" s="344"/>
      <c r="E96" s="344"/>
      <c r="F96" s="344"/>
      <c r="G96" s="344"/>
      <c r="H96" s="344"/>
      <c r="I96" s="344"/>
      <c r="J96" s="344"/>
      <c r="K96" s="344"/>
      <c r="L96" s="344"/>
      <c r="M96" s="344"/>
      <c r="N96" s="345"/>
    </row>
    <row r="97" spans="3:14" x14ac:dyDescent="0.2">
      <c r="C97" s="335"/>
      <c r="D97" s="336"/>
      <c r="E97" s="336"/>
      <c r="F97" s="336"/>
      <c r="G97" s="336"/>
      <c r="H97" s="336"/>
      <c r="I97" s="336"/>
      <c r="J97" s="336"/>
      <c r="K97" s="336"/>
      <c r="L97" s="336"/>
      <c r="M97" s="336"/>
      <c r="N97" s="339"/>
    </row>
    <row r="98" spans="3:14" x14ac:dyDescent="0.2">
      <c r="C98" s="335"/>
      <c r="D98" s="414" t="s">
        <v>608</v>
      </c>
      <c r="E98" s="415"/>
      <c r="F98" s="462" t="str">
        <f>$D$25</f>
        <v xml:space="preserve">1. Pathway 1 </v>
      </c>
      <c r="G98" s="432"/>
      <c r="H98" s="432" t="str">
        <f>'Pathway definition and results'!$E$34</f>
        <v xml:space="preserve">1. Pathway 1 </v>
      </c>
      <c r="I98" s="432" t="str">
        <f>'Pathway definition and results'!$F$34</f>
        <v>2. Pathway 2</v>
      </c>
      <c r="J98" s="432" t="str">
        <f>'Pathway definition and results'!$G$34</f>
        <v>3. Pathway 3</v>
      </c>
      <c r="K98" s="433" t="str">
        <f>'Pathway definition and results'!$H$34</f>
        <v xml:space="preserve">4. Pathway 4 </v>
      </c>
      <c r="L98" s="338"/>
      <c r="M98" s="336"/>
      <c r="N98" s="339"/>
    </row>
    <row r="99" spans="3:14" x14ac:dyDescent="0.2">
      <c r="C99" s="335"/>
      <c r="D99" s="416" t="str">
        <f>"Net climate change impact (ton CO2eq/" &amp; IF(K10="","FU",K10) &amp;")"</f>
        <v>Net climate change impact (ton CO2eq/ton H2)</v>
      </c>
      <c r="E99" s="417"/>
      <c r="F99" s="417" cm="1">
        <f t="array" ref="F99">INDEX($H$99:$K$102,1,IF($F$98=$H$98,1,IF($F$98=$I$98,2,IF($F$98=$J$98,3,4))))</f>
        <v>10.666985432584269</v>
      </c>
      <c r="G99" s="401"/>
      <c r="H99" s="401">
        <f>'Pathway definition and results'!E61</f>
        <v>10.666985432584269</v>
      </c>
      <c r="I99" s="401">
        <f>'Pathway definition and results'!F61</f>
        <v>0</v>
      </c>
      <c r="J99" s="401">
        <f>'Pathway definition and results'!G61</f>
        <v>0</v>
      </c>
      <c r="K99" s="402">
        <f>'Pathway definition and results'!H61</f>
        <v>0</v>
      </c>
      <c r="L99" s="355"/>
      <c r="M99" s="336"/>
      <c r="N99" s="339"/>
    </row>
    <row r="100" spans="3:14" x14ac:dyDescent="0.2">
      <c r="C100" s="335"/>
      <c r="D100" s="416" t="s">
        <v>634</v>
      </c>
      <c r="E100" s="417"/>
      <c r="F100" s="417" cm="1">
        <f t="array" ref="F100">INDEX($H$99:$K$102,2,IF($F$98=$H$98,1,IF($F$98=$I$98,2,IF($F$98=$J$98,3,4))))</f>
        <v>10656.100753571427</v>
      </c>
      <c r="G100" s="405"/>
      <c r="H100" s="405">
        <f>'Pathway definition and results'!E62</f>
        <v>10656.100753571427</v>
      </c>
      <c r="I100" s="405">
        <f>'Pathway definition and results'!F62</f>
        <v>0</v>
      </c>
      <c r="J100" s="405">
        <f>'Pathway definition and results'!G62</f>
        <v>0</v>
      </c>
      <c r="K100" s="406">
        <f>'Pathway definition and results'!H62</f>
        <v>0</v>
      </c>
      <c r="L100" s="355"/>
      <c r="M100" s="336"/>
      <c r="N100" s="339"/>
    </row>
    <row r="101" spans="3:14" x14ac:dyDescent="0.2">
      <c r="C101" s="335"/>
      <c r="D101" s="416" t="str">
        <f>"CO2eq avoided compared to benchmark (ton CO2eq/" &amp; IF(K10="","FU",K10) &amp;")"</f>
        <v>CO2eq avoided compared to benchmark (ton CO2eq/ton H2)</v>
      </c>
      <c r="E101" s="417"/>
      <c r="F101" s="417" cm="1">
        <f t="array" ref="F101">INDEX($H$99:$K$102,3,IF($F$98=$H$98,1,IF($F$98=$I$98,2,IF($F$98=$J$98,3,4))))</f>
        <v>0.53301456741573006</v>
      </c>
      <c r="G101" s="405"/>
      <c r="H101" s="405">
        <f>'Pathway definition and results'!E63</f>
        <v>0.53301456741573006</v>
      </c>
      <c r="I101" s="405">
        <f>'Pathway definition and results'!F63</f>
        <v>0</v>
      </c>
      <c r="J101" s="405">
        <f>'Pathway definition and results'!G63</f>
        <v>0</v>
      </c>
      <c r="K101" s="406">
        <f>'Pathway definition and results'!H63</f>
        <v>0</v>
      </c>
      <c r="L101" s="355"/>
      <c r="M101" s="336"/>
      <c r="N101" s="339"/>
    </row>
    <row r="102" spans="3:14" x14ac:dyDescent="0.2">
      <c r="C102" s="335"/>
      <c r="D102" s="418" t="s">
        <v>610</v>
      </c>
      <c r="E102" s="419"/>
      <c r="F102" s="419" cm="1">
        <f t="array" ref="F102">INDEX($H$99:$K$102,4,IF($F$98=$H$98,1,IF($F$98=$I$98,2,IF($F$98=$J$98,3,4))))</f>
        <v>532.47067499999969</v>
      </c>
      <c r="G102" s="412"/>
      <c r="H102" s="412">
        <f>'Pathway definition and results'!E64</f>
        <v>532.47067499999969</v>
      </c>
      <c r="I102" s="412">
        <f>'Pathway definition and results'!F64</f>
        <v>0</v>
      </c>
      <c r="J102" s="412">
        <f>'Pathway definition and results'!G64</f>
        <v>0</v>
      </c>
      <c r="K102" s="413">
        <f>'Pathway definition and results'!H64</f>
        <v>0</v>
      </c>
      <c r="L102" s="355"/>
      <c r="M102" s="336"/>
      <c r="N102" s="339"/>
    </row>
    <row r="103" spans="3:14" ht="12" thickBot="1" x14ac:dyDescent="0.25">
      <c r="C103" s="341"/>
      <c r="D103" s="342"/>
      <c r="E103" s="357"/>
      <c r="F103" s="357"/>
      <c r="G103" s="357"/>
      <c r="H103" s="357"/>
      <c r="I103" s="357"/>
      <c r="J103" s="357"/>
      <c r="K103" s="357"/>
      <c r="L103" s="357"/>
      <c r="M103" s="342"/>
      <c r="N103" s="343"/>
    </row>
    <row r="105" spans="3:14" ht="12" thickBot="1" x14ac:dyDescent="0.25"/>
    <row r="106" spans="3:14" x14ac:dyDescent="0.2">
      <c r="C106" s="346" t="s">
        <v>611</v>
      </c>
      <c r="D106" s="346"/>
      <c r="E106" s="344"/>
      <c r="F106" s="344"/>
      <c r="G106" s="344"/>
      <c r="H106" s="344"/>
      <c r="I106" s="344"/>
      <c r="J106" s="344"/>
      <c r="K106" s="344"/>
      <c r="L106" s="344"/>
      <c r="M106" s="344"/>
      <c r="N106" s="345"/>
    </row>
    <row r="107" spans="3:14" x14ac:dyDescent="0.2">
      <c r="C107" s="335"/>
      <c r="D107" s="336"/>
      <c r="E107" s="336"/>
      <c r="F107" s="336"/>
      <c r="G107" s="336"/>
      <c r="H107" s="336"/>
      <c r="I107" s="336"/>
      <c r="J107" s="336"/>
      <c r="K107" s="336"/>
      <c r="L107" s="336"/>
      <c r="M107" s="336"/>
      <c r="N107" s="339"/>
    </row>
    <row r="108" spans="3:14" ht="11.25" customHeight="1" x14ac:dyDescent="0.2">
      <c r="C108" s="335"/>
      <c r="D108" s="511">
        <f>IFERROR($F$127,0)</f>
        <v>20071.346055966078</v>
      </c>
      <c r="E108" s="336"/>
      <c r="F108" s="511">
        <f>IFERROR($F$128,0)</f>
        <v>110.79655864118146</v>
      </c>
      <c r="G108" s="511"/>
      <c r="H108" s="511"/>
      <c r="I108" s="336"/>
      <c r="J108" s="336"/>
      <c r="K108" s="336"/>
      <c r="L108" s="336"/>
      <c r="M108" s="336"/>
      <c r="N108" s="339"/>
    </row>
    <row r="109" spans="3:14" ht="11.25" customHeight="1" x14ac:dyDescent="0.2">
      <c r="C109" s="335"/>
      <c r="D109" s="511"/>
      <c r="E109" s="336"/>
      <c r="F109" s="511"/>
      <c r="G109" s="511"/>
      <c r="H109" s="511"/>
      <c r="I109" s="336"/>
      <c r="J109" s="336"/>
      <c r="K109" s="336"/>
      <c r="L109" s="336"/>
      <c r="M109" s="336"/>
      <c r="N109" s="339"/>
    </row>
    <row r="110" spans="3:14" ht="11.25" customHeight="1" x14ac:dyDescent="0.2">
      <c r="C110" s="335"/>
      <c r="D110" s="511"/>
      <c r="E110" s="336"/>
      <c r="F110" s="511"/>
      <c r="G110" s="511"/>
      <c r="H110" s="511"/>
      <c r="I110" s="336"/>
      <c r="J110" s="336"/>
      <c r="K110" s="336"/>
      <c r="L110" s="336"/>
      <c r="M110" s="336"/>
      <c r="N110" s="339"/>
    </row>
    <row r="111" spans="3:14" ht="11.25" customHeight="1" x14ac:dyDescent="0.2">
      <c r="C111" s="335"/>
      <c r="D111" s="511"/>
      <c r="E111" s="336"/>
      <c r="F111" s="511"/>
      <c r="G111" s="511"/>
      <c r="H111" s="511"/>
      <c r="I111" s="336"/>
      <c r="J111" s="336"/>
      <c r="K111" s="336"/>
      <c r="L111" s="336"/>
      <c r="M111" s="336"/>
      <c r="N111" s="339"/>
    </row>
    <row r="112" spans="3:14" ht="11.25" customHeight="1" x14ac:dyDescent="0.2">
      <c r="C112" s="335"/>
      <c r="D112" s="511"/>
      <c r="E112" s="336"/>
      <c r="F112" s="511"/>
      <c r="G112" s="511"/>
      <c r="H112" s="511"/>
      <c r="I112" s="336"/>
      <c r="J112" s="336"/>
      <c r="K112" s="336"/>
      <c r="L112" s="336"/>
      <c r="M112" s="336"/>
      <c r="N112" s="339"/>
    </row>
    <row r="113" spans="3:14" ht="11.25" customHeight="1" x14ac:dyDescent="0.2">
      <c r="C113" s="335"/>
      <c r="D113" s="455"/>
      <c r="E113" s="336"/>
      <c r="F113" s="455"/>
      <c r="G113" s="455"/>
      <c r="H113" s="455"/>
      <c r="I113" s="336"/>
      <c r="J113" s="336"/>
      <c r="K113" s="336"/>
      <c r="L113" s="336"/>
      <c r="M113" s="336"/>
      <c r="N113" s="339"/>
    </row>
    <row r="114" spans="3:14" ht="14.25" customHeight="1" x14ac:dyDescent="0.2">
      <c r="C114" s="335"/>
      <c r="D114" s="456" t="s">
        <v>612</v>
      </c>
      <c r="E114" s="336"/>
      <c r="F114" s="510" t="s">
        <v>637</v>
      </c>
      <c r="G114" s="510"/>
      <c r="H114" s="510"/>
      <c r="I114" s="336"/>
      <c r="J114" s="336"/>
      <c r="K114" s="336"/>
      <c r="L114" s="336"/>
      <c r="M114" s="336"/>
      <c r="N114" s="339"/>
    </row>
    <row r="115" spans="3:14" x14ac:dyDescent="0.2">
      <c r="C115" s="335"/>
      <c r="D115" s="353"/>
      <c r="E115" s="336"/>
      <c r="I115" s="336"/>
      <c r="J115" s="336"/>
      <c r="K115" s="336"/>
      <c r="L115" s="336"/>
      <c r="M115" s="336"/>
      <c r="N115" s="339"/>
    </row>
    <row r="116" spans="3:14" ht="11.4" customHeight="1" x14ac:dyDescent="0.2">
      <c r="C116" s="335"/>
      <c r="D116" s="512" t="str">
        <f>"The Carbon abatement cost (in €/ton CO2eq avoided) for " &amp; MID($F$126,4,9) &amp; " is " &amp; TEXT($D$108,"#.##0,00") &amp; " €/ton CO2eq avoided. This measure helps to identify the most cost-effective strategy to reduce GHG emissions."</f>
        <v>The Carbon abatement cost (in €/ton CO2eq avoided) for Pathway 1 is 20071.34606 €/ton CO2eq avoided. This measure helps to identify the most cost-effective strategy to reduce GHG emissions.</v>
      </c>
      <c r="E116" s="336"/>
      <c r="F116" s="512" t="str">
        <f>"The CO2 avoided per MWh of energy used (in MWh/ton CO2eq avoided) for " &amp; MID($F$126,4,9) &amp; " is " &amp; TEXT($F$108,"#.##0,00") &amp; " MWh/ton CO2eq avoided."</f>
        <v>The CO2 avoided per MWh of energy used (in MWh/ton CO2eq avoided) for Pathway 1 is 110.79656 MWh/ton CO2eq avoided.</v>
      </c>
      <c r="G116" s="512"/>
      <c r="H116" s="512"/>
      <c r="I116" s="336"/>
      <c r="J116" s="336"/>
      <c r="K116" s="336"/>
      <c r="L116" s="336"/>
      <c r="M116" s="336"/>
      <c r="N116" s="339"/>
    </row>
    <row r="117" spans="3:14" x14ac:dyDescent="0.2">
      <c r="C117" s="335"/>
      <c r="D117" s="512"/>
      <c r="E117" s="336"/>
      <c r="F117" s="512"/>
      <c r="G117" s="512"/>
      <c r="H117" s="512"/>
      <c r="I117" s="336"/>
      <c r="J117" s="336"/>
      <c r="K117" s="336"/>
      <c r="L117" s="336"/>
      <c r="M117" s="336"/>
      <c r="N117" s="339"/>
    </row>
    <row r="118" spans="3:14" ht="21" customHeight="1" x14ac:dyDescent="0.2">
      <c r="C118" s="335"/>
      <c r="D118" s="512"/>
      <c r="E118" s="336"/>
      <c r="F118" s="512"/>
      <c r="G118" s="512"/>
      <c r="H118" s="512"/>
      <c r="I118" s="336"/>
      <c r="J118" s="336"/>
      <c r="K118" s="336"/>
      <c r="L118" s="336"/>
      <c r="M118" s="336"/>
      <c r="N118" s="339"/>
    </row>
    <row r="119" spans="3:14" x14ac:dyDescent="0.2">
      <c r="C119" s="335"/>
      <c r="D119" s="512"/>
      <c r="E119" s="336"/>
      <c r="F119" s="512"/>
      <c r="G119" s="512"/>
      <c r="H119" s="512"/>
      <c r="I119" s="336"/>
      <c r="J119" s="336"/>
      <c r="K119" s="336"/>
      <c r="L119" s="336"/>
      <c r="M119" s="336"/>
      <c r="N119" s="339"/>
    </row>
    <row r="120" spans="3:14" ht="22.5" customHeight="1" x14ac:dyDescent="0.2">
      <c r="C120" s="335"/>
      <c r="D120" s="512"/>
      <c r="E120" s="336"/>
      <c r="F120" s="512"/>
      <c r="G120" s="512"/>
      <c r="H120" s="512"/>
      <c r="I120" s="336"/>
      <c r="J120" s="336"/>
      <c r="K120" s="336"/>
      <c r="L120" s="336"/>
      <c r="M120" s="336"/>
      <c r="N120" s="339"/>
    </row>
    <row r="121" spans="3:14" ht="12" thickBot="1" x14ac:dyDescent="0.25">
      <c r="C121" s="341"/>
      <c r="D121" s="342"/>
      <c r="E121" s="342"/>
      <c r="F121" s="342"/>
      <c r="G121" s="342"/>
      <c r="H121" s="342"/>
      <c r="I121" s="342"/>
      <c r="J121" s="342"/>
      <c r="K121" s="342"/>
      <c r="L121" s="342"/>
      <c r="M121" s="342"/>
      <c r="N121" s="343"/>
    </row>
    <row r="123" spans="3:14" ht="12" thickBot="1" x14ac:dyDescent="0.25"/>
    <row r="124" spans="3:14" x14ac:dyDescent="0.2">
      <c r="C124" s="346" t="s">
        <v>613</v>
      </c>
      <c r="D124" s="344"/>
      <c r="E124" s="344"/>
      <c r="F124" s="344"/>
      <c r="G124" s="344"/>
      <c r="H124" s="344"/>
      <c r="I124" s="344"/>
      <c r="J124" s="344"/>
      <c r="K124" s="344"/>
      <c r="L124" s="344"/>
      <c r="M124" s="344"/>
      <c r="N124" s="345"/>
    </row>
    <row r="125" spans="3:14" x14ac:dyDescent="0.2">
      <c r="C125" s="335"/>
      <c r="D125" s="336"/>
      <c r="E125" s="336"/>
      <c r="F125" s="336"/>
      <c r="G125" s="336"/>
      <c r="H125" s="336"/>
      <c r="I125" s="336"/>
      <c r="J125" s="336"/>
      <c r="K125" s="336"/>
      <c r="L125" s="336"/>
      <c r="M125" s="336"/>
      <c r="N125" s="339"/>
    </row>
    <row r="126" spans="3:14" x14ac:dyDescent="0.2">
      <c r="C126" s="335"/>
      <c r="D126" s="420" t="s">
        <v>611</v>
      </c>
      <c r="E126" s="421"/>
      <c r="F126" s="461" t="str">
        <f>$D$25</f>
        <v xml:space="preserve">1. Pathway 1 </v>
      </c>
      <c r="G126" s="432"/>
      <c r="H126" s="432" t="str">
        <f>'Pathway definition and results'!$E$34</f>
        <v xml:space="preserve">1. Pathway 1 </v>
      </c>
      <c r="I126" s="432" t="str">
        <f>'Pathway definition and results'!$F$34</f>
        <v>2. Pathway 2</v>
      </c>
      <c r="J126" s="432" t="str">
        <f>'Pathway definition and results'!$G$34</f>
        <v>3. Pathway 3</v>
      </c>
      <c r="K126" s="433" t="str">
        <f>'Pathway definition and results'!$H$34</f>
        <v xml:space="preserve">4. Pathway 4 </v>
      </c>
      <c r="L126" s="338"/>
      <c r="M126" s="336"/>
      <c r="N126" s="339"/>
    </row>
    <row r="127" spans="3:14" ht="13.8" x14ac:dyDescent="0.3">
      <c r="C127" s="335"/>
      <c r="D127" s="422" t="s">
        <v>635</v>
      </c>
      <c r="E127" s="423"/>
      <c r="F127" s="460" cm="1">
        <f t="array" ref="F127">INDEX($H$127:$K$128,1,IF($F$126=$H$126,1,IF($F$126=$I$126,2,IF($F$126=$J$126,3,4))))</f>
        <v>20071.346055966078</v>
      </c>
      <c r="G127" s="442"/>
      <c r="H127" s="442">
        <f>'Pathway definition and results'!E65</f>
        <v>20071.346055966078</v>
      </c>
      <c r="I127" s="442">
        <f>'Pathway definition and results'!F65</f>
        <v>0</v>
      </c>
      <c r="J127" s="442">
        <f>'Pathway definition and results'!G65</f>
        <v>0</v>
      </c>
      <c r="K127" s="443">
        <f>'Pathway definition and results'!H65</f>
        <v>0</v>
      </c>
      <c r="L127" s="355"/>
      <c r="M127" s="336"/>
      <c r="N127" s="339"/>
    </row>
    <row r="128" spans="3:14" ht="13.8" x14ac:dyDescent="0.3">
      <c r="C128" s="335"/>
      <c r="D128" s="424" t="s">
        <v>636</v>
      </c>
      <c r="E128" s="425"/>
      <c r="F128" s="425" cm="1">
        <f t="array" ref="F128">INDEX($H$127:$K$128,2,IF($F$126=$H$126,1,IF($F$126=$I$126,2,IF($F$126=$J$126,3,4))))</f>
        <v>110.79655864118146</v>
      </c>
      <c r="G128" s="412"/>
      <c r="H128" s="412">
        <f>'Pathway definition and results'!E66</f>
        <v>110.79655864118146</v>
      </c>
      <c r="I128" s="412">
        <f>'Pathway definition and results'!F66</f>
        <v>0</v>
      </c>
      <c r="J128" s="412">
        <f>'Pathway definition and results'!G66</f>
        <v>0</v>
      </c>
      <c r="K128" s="413">
        <f>'Pathway definition and results'!H66</f>
        <v>0</v>
      </c>
      <c r="L128" s="355"/>
      <c r="M128" s="336"/>
      <c r="N128" s="339"/>
    </row>
    <row r="129" spans="3:14" ht="12" thickBot="1" x14ac:dyDescent="0.25">
      <c r="C129" s="341"/>
      <c r="D129" s="342"/>
      <c r="E129" s="357"/>
      <c r="F129" s="357"/>
      <c r="G129" s="357"/>
      <c r="H129" s="357"/>
      <c r="I129" s="357"/>
      <c r="J129" s="357"/>
      <c r="K129" s="357"/>
      <c r="L129" s="357"/>
      <c r="M129" s="342"/>
      <c r="N129" s="343"/>
    </row>
  </sheetData>
  <sheetProtection algorithmName="SHA-512" hashValue="/NFwszEPiqMqw64D7dqTPdKOwVSjdKchRc5/8zL1sIKbQ3MSNmxwRSpsEsJuMAtAbnRjta8hDkvj90QidclZmg==" saltValue="LYogy3c9yYpggKkKBMXhsQ==" spinCount="100000" sheet="1" objects="1" scenarios="1"/>
  <mergeCells count="27">
    <mergeCell ref="D108:D112"/>
    <mergeCell ref="D116:D120"/>
    <mergeCell ref="C22:D22"/>
    <mergeCell ref="C41:D41"/>
    <mergeCell ref="D80:D84"/>
    <mergeCell ref="D88:D92"/>
    <mergeCell ref="D43:D47"/>
    <mergeCell ref="D51:D56"/>
    <mergeCell ref="C2:N2"/>
    <mergeCell ref="C4:D4"/>
    <mergeCell ref="F6:H6"/>
    <mergeCell ref="F8:H8"/>
    <mergeCell ref="F10:H10"/>
    <mergeCell ref="F114:H114"/>
    <mergeCell ref="F108:H112"/>
    <mergeCell ref="F116:H120"/>
    <mergeCell ref="F12:H12"/>
    <mergeCell ref="K12:M15"/>
    <mergeCell ref="F14:H14"/>
    <mergeCell ref="F16:H16"/>
    <mergeCell ref="F18:H18"/>
    <mergeCell ref="F80:H84"/>
    <mergeCell ref="F86:H86"/>
    <mergeCell ref="F88:H92"/>
    <mergeCell ref="K49:M49"/>
    <mergeCell ref="K43:M47"/>
    <mergeCell ref="K51:M5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B9794F-46C6-4A79-968D-90629158B91B}">
          <x14:formula1>
            <xm:f>'Pathway definition and results'!$E$34:$H$34</xm:f>
          </x14:formula1>
          <xm:sqref>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J21"/>
  <sheetViews>
    <sheetView workbookViewId="0">
      <pane xSplit="1" topLeftCell="B1" activePane="topRight" state="frozen"/>
      <selection pane="topRight" activeCell="B30" sqref="B30"/>
    </sheetView>
  </sheetViews>
  <sheetFormatPr defaultColWidth="9.109375" defaultRowHeight="11.4" x14ac:dyDescent="0.2"/>
  <cols>
    <col min="1" max="1" width="30.6640625" style="1" customWidth="1"/>
    <col min="2" max="2" width="32" style="1" bestFit="1" customWidth="1"/>
    <col min="3" max="3" width="107.44140625" style="1" customWidth="1"/>
    <col min="4" max="16384" width="9.109375" style="1"/>
  </cols>
  <sheetData>
    <row r="1" spans="2:3" ht="144" customHeight="1" x14ac:dyDescent="0.2"/>
    <row r="4" spans="2:3" ht="19.8" x14ac:dyDescent="0.3">
      <c r="B4" s="3" t="s">
        <v>61</v>
      </c>
    </row>
    <row r="6" spans="2:3" ht="15" customHeight="1" x14ac:dyDescent="0.2">
      <c r="B6" s="5" t="s">
        <v>62</v>
      </c>
      <c r="C6" s="4" t="s">
        <v>63</v>
      </c>
    </row>
    <row r="7" spans="2:3" ht="15" customHeight="1" x14ac:dyDescent="0.2">
      <c r="B7" s="5" t="s">
        <v>64</v>
      </c>
      <c r="C7" s="4" t="s">
        <v>65</v>
      </c>
    </row>
    <row r="8" spans="2:3" ht="15" customHeight="1" x14ac:dyDescent="0.2">
      <c r="B8" s="5" t="s">
        <v>66</v>
      </c>
      <c r="C8" s="56" t="s">
        <v>67</v>
      </c>
    </row>
    <row r="9" spans="2:3" ht="15" customHeight="1" x14ac:dyDescent="0.2">
      <c r="B9" s="5" t="s">
        <v>68</v>
      </c>
      <c r="C9" s="145">
        <v>45047</v>
      </c>
    </row>
    <row r="10" spans="2:3" ht="15" customHeight="1" x14ac:dyDescent="0.2">
      <c r="B10" s="5" t="s">
        <v>69</v>
      </c>
      <c r="C10" s="66">
        <v>10</v>
      </c>
    </row>
    <row r="11" spans="2:3" ht="15" customHeight="1" x14ac:dyDescent="0.2">
      <c r="B11" s="5" t="s">
        <v>70</v>
      </c>
      <c r="C11" s="179">
        <v>3000000</v>
      </c>
    </row>
    <row r="12" spans="2:3" ht="15" customHeight="1" x14ac:dyDescent="0.2">
      <c r="B12" s="5" t="s">
        <v>71</v>
      </c>
      <c r="C12" s="66">
        <v>10</v>
      </c>
    </row>
    <row r="13" spans="2:3" ht="15" customHeight="1" x14ac:dyDescent="0.2">
      <c r="B13" s="5" t="s">
        <v>72</v>
      </c>
      <c r="C13" s="4" t="s">
        <v>73</v>
      </c>
    </row>
    <row r="14" spans="2:3" ht="15" customHeight="1" x14ac:dyDescent="0.2">
      <c r="B14" s="5" t="s">
        <v>74</v>
      </c>
      <c r="C14" s="4" t="s">
        <v>75</v>
      </c>
    </row>
    <row r="15" spans="2:3" ht="15" customHeight="1" x14ac:dyDescent="0.2">
      <c r="B15" s="5" t="s">
        <v>76</v>
      </c>
      <c r="C15" s="146" t="s">
        <v>77</v>
      </c>
    </row>
    <row r="18" spans="2:10" ht="19.8" x14ac:dyDescent="0.3">
      <c r="B18" s="3" t="s">
        <v>78</v>
      </c>
      <c r="J18"/>
    </row>
    <row r="19" spans="2:10" x14ac:dyDescent="0.2">
      <c r="B19" s="6" t="s">
        <v>79</v>
      </c>
      <c r="C19" s="6"/>
    </row>
    <row r="20" spans="2:10" x14ac:dyDescent="0.2">
      <c r="B20" s="180">
        <v>45047</v>
      </c>
    </row>
    <row r="21" spans="2:10" x14ac:dyDescent="0.2">
      <c r="B21" s="135"/>
    </row>
  </sheetData>
  <hyperlinks>
    <hyperlink ref="C15"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4" tint="0.79998168889431442"/>
  </sheetPr>
  <dimension ref="B1:K40"/>
  <sheetViews>
    <sheetView topLeftCell="A4" workbookViewId="0">
      <pane xSplit="1" topLeftCell="B1" activePane="topRight" state="frozen"/>
      <selection pane="topRight" activeCell="B41" sqref="B41"/>
    </sheetView>
  </sheetViews>
  <sheetFormatPr defaultColWidth="9.109375" defaultRowHeight="11.4" x14ac:dyDescent="0.2"/>
  <cols>
    <col min="1" max="1" width="30.6640625" style="1" customWidth="1"/>
    <col min="2" max="2" width="32.109375" style="1" customWidth="1"/>
    <col min="3" max="6" width="20.6640625" style="1" customWidth="1"/>
    <col min="7" max="7" width="14.88671875" style="1" customWidth="1"/>
    <col min="8" max="9" width="20.6640625" style="1" customWidth="1"/>
    <col min="10" max="10" width="15.5546875" style="1" customWidth="1"/>
    <col min="11" max="11" width="6.88671875" style="1" customWidth="1"/>
    <col min="12" max="16384" width="9.109375" style="1"/>
  </cols>
  <sheetData>
    <row r="1" spans="2:11" ht="144" customHeight="1" x14ac:dyDescent="0.2"/>
    <row r="4" spans="2:11" ht="19.8" x14ac:dyDescent="0.3">
      <c r="B4" s="3" t="s">
        <v>80</v>
      </c>
    </row>
    <row r="6" spans="2:11" s="52" customFormat="1" ht="20.100000000000001" customHeight="1" x14ac:dyDescent="0.3">
      <c r="B6" s="94" t="s">
        <v>81</v>
      </c>
      <c r="C6" s="527" t="s">
        <v>82</v>
      </c>
      <c r="D6" s="528"/>
      <c r="E6" s="528"/>
      <c r="F6" s="528"/>
      <c r="G6" s="528"/>
      <c r="H6" s="528"/>
      <c r="I6" s="528"/>
      <c r="J6" s="528"/>
      <c r="K6" s="529"/>
    </row>
    <row r="8" spans="2:11" ht="12.75" customHeight="1" x14ac:dyDescent="0.2">
      <c r="B8" s="94" t="s">
        <v>83</v>
      </c>
    </row>
    <row r="9" spans="2:11" ht="66" customHeight="1" x14ac:dyDescent="0.2">
      <c r="B9" s="527" t="s">
        <v>84</v>
      </c>
      <c r="C9" s="528"/>
      <c r="D9" s="528"/>
      <c r="E9" s="528"/>
      <c r="F9" s="528"/>
      <c r="G9" s="528"/>
      <c r="H9" s="528"/>
      <c r="I9" s="528"/>
      <c r="J9" s="528"/>
      <c r="K9" s="529"/>
    </row>
    <row r="11" spans="2:11" s="52" customFormat="1" ht="20.100000000000001" customHeight="1" x14ac:dyDescent="0.3">
      <c r="B11" s="94" t="s">
        <v>674</v>
      </c>
      <c r="C11" s="530">
        <v>7</v>
      </c>
      <c r="D11" s="531"/>
      <c r="E11" s="531"/>
      <c r="F11" s="531"/>
      <c r="G11" s="531"/>
      <c r="H11" s="531"/>
      <c r="I11" s="531"/>
      <c r="J11" s="531"/>
      <c r="K11" s="532"/>
    </row>
    <row r="13" spans="2:11" x14ac:dyDescent="0.2">
      <c r="B13" s="6" t="s">
        <v>85</v>
      </c>
    </row>
    <row r="14" spans="2:11" ht="36.6" x14ac:dyDescent="0.2">
      <c r="B14" s="140" t="s">
        <v>86</v>
      </c>
      <c r="C14" s="54" t="s">
        <v>87</v>
      </c>
      <c r="D14" s="139" t="s">
        <v>675</v>
      </c>
      <c r="E14" s="533" t="s">
        <v>88</v>
      </c>
      <c r="F14" s="533"/>
      <c r="G14" s="533"/>
      <c r="H14" s="533" t="s">
        <v>89</v>
      </c>
      <c r="I14" s="533"/>
      <c r="J14" s="533"/>
      <c r="K14" s="533"/>
    </row>
    <row r="15" spans="2:11" ht="50.1" customHeight="1" x14ac:dyDescent="0.2">
      <c r="B15" s="4" t="s">
        <v>90</v>
      </c>
      <c r="C15" s="53">
        <v>9</v>
      </c>
      <c r="D15" s="258">
        <v>11.2</v>
      </c>
      <c r="E15" s="534"/>
      <c r="F15" s="534"/>
      <c r="G15" s="534"/>
      <c r="H15" s="534"/>
      <c r="I15" s="534"/>
      <c r="J15" s="534"/>
      <c r="K15" s="534"/>
    </row>
    <row r="16" spans="2:11" ht="50.1" customHeight="1" x14ac:dyDescent="0.2">
      <c r="B16" s="4"/>
      <c r="C16" s="53"/>
      <c r="D16" s="259"/>
      <c r="E16" s="534"/>
      <c r="F16" s="534"/>
      <c r="G16" s="534"/>
      <c r="H16" s="534"/>
      <c r="I16" s="534"/>
      <c r="J16" s="534"/>
      <c r="K16" s="534"/>
    </row>
    <row r="17" spans="2:11" ht="50.1" customHeight="1" x14ac:dyDescent="0.2">
      <c r="B17" s="4"/>
      <c r="C17" s="53"/>
      <c r="D17" s="259"/>
      <c r="E17" s="534"/>
      <c r="F17" s="534"/>
      <c r="G17" s="534"/>
      <c r="H17" s="534"/>
      <c r="I17" s="534"/>
      <c r="J17" s="534"/>
      <c r="K17" s="534"/>
    </row>
    <row r="18" spans="2:11" ht="14.4" x14ac:dyDescent="0.3">
      <c r="G18"/>
    </row>
    <row r="19" spans="2:11" x14ac:dyDescent="0.2">
      <c r="B19" s="6" t="s">
        <v>91</v>
      </c>
    </row>
    <row r="20" spans="2:11" x14ac:dyDescent="0.2">
      <c r="B20" s="50" t="s">
        <v>92</v>
      </c>
    </row>
    <row r="21" spans="2:11" ht="54" customHeight="1" x14ac:dyDescent="0.2">
      <c r="B21" s="527" t="s">
        <v>93</v>
      </c>
      <c r="C21" s="528"/>
      <c r="D21" s="528"/>
      <c r="E21" s="528"/>
      <c r="F21" s="528"/>
      <c r="G21" s="528"/>
      <c r="H21" s="528"/>
      <c r="I21" s="528"/>
      <c r="J21" s="528"/>
      <c r="K21" s="529"/>
    </row>
    <row r="23" spans="2:11" s="52" customFormat="1" ht="20.100000000000001" customHeight="1" x14ac:dyDescent="0.3">
      <c r="B23" s="94" t="s">
        <v>94</v>
      </c>
      <c r="C23" s="527" t="s">
        <v>95</v>
      </c>
      <c r="D23" s="528"/>
      <c r="E23" s="528"/>
      <c r="F23" s="528"/>
      <c r="G23" s="528"/>
      <c r="H23" s="528"/>
      <c r="I23" s="528"/>
      <c r="J23" s="528"/>
      <c r="K23" s="529"/>
    </row>
    <row r="25" spans="2:11" s="52" customFormat="1" ht="20.100000000000001" customHeight="1" x14ac:dyDescent="0.3">
      <c r="B25" s="94" t="s">
        <v>96</v>
      </c>
      <c r="C25" s="527">
        <v>2023</v>
      </c>
      <c r="D25" s="528"/>
      <c r="E25" s="528"/>
      <c r="F25" s="528"/>
      <c r="G25" s="528"/>
      <c r="H25" s="528"/>
      <c r="I25" s="528"/>
      <c r="J25" s="528"/>
      <c r="K25" s="529"/>
    </row>
    <row r="28" spans="2:11" x14ac:dyDescent="0.2">
      <c r="B28" s="6" t="s">
        <v>97</v>
      </c>
    </row>
    <row r="29" spans="2:11" x14ac:dyDescent="0.2">
      <c r="B29" s="50" t="s">
        <v>98</v>
      </c>
      <c r="C29" s="50" t="s">
        <v>99</v>
      </c>
      <c r="D29" s="50"/>
    </row>
    <row r="30" spans="2:11" s="52" customFormat="1" ht="20.100000000000001" customHeight="1" x14ac:dyDescent="0.3">
      <c r="B30" s="57" t="s">
        <v>100</v>
      </c>
      <c r="C30" s="527" t="s">
        <v>101</v>
      </c>
      <c r="D30" s="528"/>
      <c r="E30" s="528"/>
      <c r="F30" s="528"/>
      <c r="G30" s="528"/>
      <c r="H30" s="528"/>
      <c r="I30" s="528"/>
      <c r="J30" s="528"/>
      <c r="K30" s="529"/>
    </row>
    <row r="32" spans="2:11" ht="21.75" customHeight="1" x14ac:dyDescent="0.2">
      <c r="B32" s="181" t="s">
        <v>102</v>
      </c>
      <c r="C32" s="530" t="s">
        <v>614</v>
      </c>
      <c r="D32" s="531"/>
      <c r="E32" s="531"/>
      <c r="F32" s="531"/>
      <c r="G32" s="531"/>
      <c r="H32" s="531"/>
      <c r="I32" s="531"/>
      <c r="J32" s="531"/>
      <c r="K32" s="532"/>
    </row>
    <row r="33" spans="2:11" x14ac:dyDescent="0.2">
      <c r="B33" s="6"/>
    </row>
    <row r="34" spans="2:11" x14ac:dyDescent="0.2">
      <c r="B34" s="50" t="s">
        <v>627</v>
      </c>
    </row>
    <row r="35" spans="2:11" ht="36.75" customHeight="1" x14ac:dyDescent="0.2">
      <c r="B35" s="527" t="s">
        <v>103</v>
      </c>
      <c r="C35" s="528"/>
      <c r="D35" s="528"/>
      <c r="E35" s="528"/>
      <c r="F35" s="528"/>
      <c r="G35" s="528"/>
      <c r="H35" s="528"/>
      <c r="I35" s="528"/>
      <c r="J35" s="528"/>
      <c r="K35" s="529"/>
    </row>
    <row r="36" spans="2:11" x14ac:dyDescent="0.2">
      <c r="B36" s="50"/>
    </row>
    <row r="37" spans="2:11" x14ac:dyDescent="0.2">
      <c r="B37" s="6" t="s">
        <v>104</v>
      </c>
    </row>
    <row r="38" spans="2:11" x14ac:dyDescent="0.2">
      <c r="B38" s="50" t="s">
        <v>105</v>
      </c>
    </row>
    <row r="39" spans="2:11" ht="36.75" customHeight="1" x14ac:dyDescent="0.2">
      <c r="B39" s="527" t="s">
        <v>106</v>
      </c>
      <c r="C39" s="528"/>
      <c r="D39" s="528"/>
      <c r="E39" s="528"/>
      <c r="F39" s="528"/>
      <c r="G39" s="528"/>
      <c r="H39" s="528"/>
      <c r="I39" s="528"/>
      <c r="J39" s="528"/>
      <c r="K39" s="529"/>
    </row>
    <row r="40" spans="2:11" ht="11.25" customHeight="1" x14ac:dyDescent="0.2"/>
  </sheetData>
  <mergeCells count="18">
    <mergeCell ref="B39:K39"/>
    <mergeCell ref="B35:K35"/>
    <mergeCell ref="C30:K30"/>
    <mergeCell ref="C32:K32"/>
    <mergeCell ref="C6:K6"/>
    <mergeCell ref="B9:K9"/>
    <mergeCell ref="C11:K11"/>
    <mergeCell ref="C23:K23"/>
    <mergeCell ref="C25:K25"/>
    <mergeCell ref="B21:K21"/>
    <mergeCell ref="E14:G14"/>
    <mergeCell ref="H15:K15"/>
    <mergeCell ref="H16:K16"/>
    <mergeCell ref="H17:K17"/>
    <mergeCell ref="E15:G15"/>
    <mergeCell ref="H14:K14"/>
    <mergeCell ref="E16:G16"/>
    <mergeCell ref="E17:G17"/>
  </mergeCells>
  <dataValidations disablePrompts="1" count="2">
    <dataValidation type="list" allowBlank="1" showInputMessage="1" showErrorMessage="1" sqref="B30" xr:uid="{00000000-0002-0000-0300-000000000000}">
      <formula1>"Cradle-to-cradle, Cradle-to-grave, Cradle-to-gate, Gate-to-gate, Gate-to-grave, Gate-to-cradle"</formula1>
    </dataValidation>
    <dataValidation type="whole" allowBlank="1" showInputMessage="1" showErrorMessage="1" error="Should be a whole number between 1 and 9. " sqref="C11:K11" xr:uid="{00000000-0002-0000-0300-000001000000}">
      <formula1>1</formula1>
      <formula2>9</formula2>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5" tint="0.79998168889431442"/>
  </sheetPr>
  <dimension ref="A1:J63"/>
  <sheetViews>
    <sheetView workbookViewId="0">
      <pane xSplit="1" topLeftCell="B1" activePane="topRight" state="frozen"/>
      <selection pane="topRight" activeCell="D12" sqref="D12"/>
    </sheetView>
  </sheetViews>
  <sheetFormatPr defaultColWidth="9.109375" defaultRowHeight="11.4" x14ac:dyDescent="0.2"/>
  <cols>
    <col min="1" max="1" width="30.6640625" style="1" customWidth="1"/>
    <col min="2" max="2" width="33.109375" style="1" customWidth="1"/>
    <col min="3" max="3" width="113.6640625" style="1" customWidth="1"/>
    <col min="4" max="4" width="24.88671875" style="1" customWidth="1"/>
    <col min="5" max="5" width="9.109375" style="1" customWidth="1"/>
    <col min="6" max="16384" width="9.109375" style="1"/>
  </cols>
  <sheetData>
    <row r="1" spans="2:10" ht="144" customHeight="1" x14ac:dyDescent="0.2"/>
    <row r="4" spans="2:10" ht="19.8" x14ac:dyDescent="0.3">
      <c r="B4" s="3" t="s">
        <v>107</v>
      </c>
    </row>
    <row r="6" spans="2:10" ht="15" customHeight="1" x14ac:dyDescent="0.2">
      <c r="B6" s="61" t="s">
        <v>108</v>
      </c>
    </row>
    <row r="7" spans="2:10" ht="24.9" customHeight="1" x14ac:dyDescent="0.2">
      <c r="B7" s="5" t="s">
        <v>109</v>
      </c>
      <c r="C7" s="4" t="s">
        <v>82</v>
      </c>
      <c r="D7" s="535"/>
      <c r="E7" s="536"/>
      <c r="F7" s="536"/>
      <c r="G7" s="536"/>
      <c r="H7" s="536"/>
      <c r="I7" s="536"/>
      <c r="J7" s="536"/>
    </row>
    <row r="8" spans="2:10" ht="24.9" customHeight="1" x14ac:dyDescent="0.2">
      <c r="B8" s="5" t="s">
        <v>110</v>
      </c>
      <c r="C8" s="4"/>
    </row>
    <row r="9" spans="2:10" ht="24.9" customHeight="1" x14ac:dyDescent="0.2">
      <c r="B9" s="5" t="s">
        <v>111</v>
      </c>
      <c r="C9" s="69"/>
    </row>
    <row r="10" spans="2:10" ht="24.9" customHeight="1" x14ac:dyDescent="0.2">
      <c r="B10" s="67" t="s">
        <v>112</v>
      </c>
      <c r="C10" s="4"/>
    </row>
    <row r="11" spans="2:10" ht="24.9" customHeight="1" x14ac:dyDescent="0.2">
      <c r="B11" s="67" t="s">
        <v>113</v>
      </c>
      <c r="C11" s="4"/>
    </row>
    <row r="12" spans="2:10" ht="24.9" customHeight="1" x14ac:dyDescent="0.2">
      <c r="B12" s="5" t="s">
        <v>114</v>
      </c>
      <c r="C12" s="68"/>
    </row>
    <row r="13" spans="2:10" ht="24.9" customHeight="1" x14ac:dyDescent="0.2">
      <c r="B13" s="5" t="s">
        <v>115</v>
      </c>
      <c r="C13" s="4"/>
    </row>
    <row r="14" spans="2:10" ht="24.9" customHeight="1" x14ac:dyDescent="0.2">
      <c r="B14" s="5" t="s">
        <v>116</v>
      </c>
      <c r="C14" s="4"/>
    </row>
    <row r="15" spans="2:10" ht="24.9" customHeight="1" x14ac:dyDescent="0.2">
      <c r="B15" s="5" t="s">
        <v>117</v>
      </c>
      <c r="C15" s="4"/>
    </row>
    <row r="16" spans="2:10" ht="24.9" customHeight="1" x14ac:dyDescent="0.2">
      <c r="B16" s="5" t="s">
        <v>118</v>
      </c>
      <c r="C16" s="4"/>
    </row>
    <row r="17" spans="1:10" ht="24.9" customHeight="1" x14ac:dyDescent="0.2">
      <c r="B17" s="5" t="s">
        <v>119</v>
      </c>
      <c r="C17" s="4"/>
    </row>
    <row r="18" spans="1:10" ht="24.9" customHeight="1" x14ac:dyDescent="0.2">
      <c r="B18" s="5" t="s">
        <v>120</v>
      </c>
      <c r="C18" s="4"/>
    </row>
    <row r="19" spans="1:10" ht="24.9" customHeight="1" x14ac:dyDescent="0.2">
      <c r="B19" s="5" t="s">
        <v>121</v>
      </c>
      <c r="C19" s="4"/>
    </row>
    <row r="20" spans="1:10" ht="15" customHeight="1" x14ac:dyDescent="0.2"/>
    <row r="21" spans="1:10" ht="24.9" customHeight="1" x14ac:dyDescent="0.2">
      <c r="B21" s="5" t="s">
        <v>122</v>
      </c>
      <c r="C21" s="4" t="s">
        <v>123</v>
      </c>
      <c r="D21" s="535"/>
      <c r="E21" s="536"/>
      <c r="F21" s="536"/>
      <c r="G21" s="536"/>
      <c r="H21" s="536"/>
      <c r="I21" s="536"/>
      <c r="J21" s="536"/>
    </row>
    <row r="22" spans="1:10" ht="24.9" customHeight="1" x14ac:dyDescent="0.2">
      <c r="B22" s="5" t="s">
        <v>110</v>
      </c>
      <c r="C22" s="4"/>
    </row>
    <row r="23" spans="1:10" ht="24.9" customHeight="1" x14ac:dyDescent="0.2">
      <c r="B23" s="5" t="s">
        <v>111</v>
      </c>
      <c r="C23" s="69"/>
    </row>
    <row r="24" spans="1:10" ht="24.9" customHeight="1" x14ac:dyDescent="0.2">
      <c r="B24" s="67" t="s">
        <v>112</v>
      </c>
      <c r="C24" s="4"/>
    </row>
    <row r="25" spans="1:10" ht="24.9" customHeight="1" x14ac:dyDescent="0.2">
      <c r="B25" s="67" t="s">
        <v>113</v>
      </c>
      <c r="C25" s="4"/>
    </row>
    <row r="26" spans="1:10" ht="24.9" customHeight="1" x14ac:dyDescent="0.2">
      <c r="B26" s="5" t="s">
        <v>114</v>
      </c>
      <c r="C26" s="68"/>
    </row>
    <row r="27" spans="1:10" ht="24.9" customHeight="1" x14ac:dyDescent="0.2">
      <c r="B27" s="5" t="s">
        <v>115</v>
      </c>
      <c r="C27" s="4"/>
    </row>
    <row r="28" spans="1:10" ht="24.9" customHeight="1" x14ac:dyDescent="0.2">
      <c r="B28" s="5" t="s">
        <v>116</v>
      </c>
      <c r="C28" s="4"/>
    </row>
    <row r="29" spans="1:10" ht="24.9" customHeight="1" x14ac:dyDescent="0.2">
      <c r="B29" s="5" t="s">
        <v>117</v>
      </c>
      <c r="C29" s="4"/>
    </row>
    <row r="30" spans="1:10" ht="24.9" customHeight="1" x14ac:dyDescent="0.2">
      <c r="B30" s="5" t="s">
        <v>118</v>
      </c>
      <c r="C30" s="4"/>
    </row>
    <row r="31" spans="1:10" ht="24.9" customHeight="1" x14ac:dyDescent="0.2">
      <c r="B31" s="5" t="s">
        <v>119</v>
      </c>
      <c r="C31" s="4"/>
    </row>
    <row r="32" spans="1:10" ht="24.9" customHeight="1" x14ac:dyDescent="0.2">
      <c r="B32" s="5" t="s">
        <v>120</v>
      </c>
      <c r="C32" s="4"/>
    </row>
    <row r="33" spans="2:3" ht="24.9" customHeight="1" x14ac:dyDescent="0.2">
      <c r="B33" s="5" t="s">
        <v>121</v>
      </c>
      <c r="C33" s="4"/>
    </row>
    <row r="34" spans="2:3" ht="15" customHeight="1" x14ac:dyDescent="0.2"/>
    <row r="35" spans="2:3" ht="15" customHeight="1" x14ac:dyDescent="0.2">
      <c r="B35" s="6" t="s">
        <v>124</v>
      </c>
    </row>
    <row r="36" spans="2:3" ht="15" customHeight="1" x14ac:dyDescent="0.2">
      <c r="B36" s="50" t="s">
        <v>125</v>
      </c>
    </row>
    <row r="37" spans="2:3" ht="15" customHeight="1" x14ac:dyDescent="0.2">
      <c r="B37" s="1" t="s">
        <v>126</v>
      </c>
      <c r="C37" s="1" t="s">
        <v>127</v>
      </c>
    </row>
    <row r="38" spans="2:3" ht="24.9" customHeight="1" x14ac:dyDescent="0.2">
      <c r="B38" s="4" t="s">
        <v>128</v>
      </c>
      <c r="C38" s="4" t="s">
        <v>129</v>
      </c>
    </row>
    <row r="39" spans="2:3" ht="24.9" customHeight="1" x14ac:dyDescent="0.2">
      <c r="B39" s="4"/>
      <c r="C39" s="4"/>
    </row>
    <row r="40" spans="2:3" ht="24.9" customHeight="1" x14ac:dyDescent="0.2">
      <c r="B40" s="4"/>
      <c r="C40" s="4"/>
    </row>
    <row r="41" spans="2:3" ht="24.9" customHeight="1" x14ac:dyDescent="0.2">
      <c r="B41" s="4"/>
      <c r="C41" s="4"/>
    </row>
    <row r="42" spans="2:3" ht="15" customHeight="1" x14ac:dyDescent="0.2"/>
    <row r="46" spans="2:3" ht="15" customHeight="1" x14ac:dyDescent="0.2"/>
    <row r="47" spans="2:3" ht="15" customHeight="1" x14ac:dyDescent="0.2"/>
    <row r="48" spans="2: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sheetData>
  <mergeCells count="2">
    <mergeCell ref="D7:J7"/>
    <mergeCell ref="D21:J21"/>
  </mergeCells>
  <phoneticPr fontId="14" type="noConversion"/>
  <dataValidations count="12">
    <dataValidation allowBlank="1" showInputMessage="1" showErrorMessage="1" prompt="Compound Annual Growth Rate " sqref="B12 B26" xr:uid="{00000000-0002-0000-0400-000000000000}"/>
    <dataValidation allowBlank="1" showInputMessage="1" showErrorMessage="1" prompt="What is the current global production? " sqref="B8 B22" xr:uid="{00000000-0002-0000-0400-000001000000}"/>
    <dataValidation allowBlank="1" showInputMessage="1" showErrorMessage="1" prompt="What is the production in Belgium/Flanders?" sqref="B9 B23" xr:uid="{00000000-0002-0000-0400-000002000000}"/>
    <dataValidation allowBlank="1" showInputMessage="1" showErrorMessage="1" prompt="How big is the global demand? " sqref="B10 B24" xr:uid="{00000000-0002-0000-0400-000003000000}"/>
    <dataValidation allowBlank="1" showInputMessage="1" showErrorMessage="1" prompt="Which is the main product that you target?" sqref="B7 B21" xr:uid="{00000000-0002-0000-0400-000004000000}"/>
    <dataValidation allowBlank="1" showInputMessage="1" showErrorMessage="1" prompt="What would be a realistic market share if you are successful? " sqref="B11 B25" xr:uid="{00000000-0002-0000-0400-000005000000}"/>
    <dataValidation allowBlank="1" showInputMessage="1" showErrorMessage="1" prompt="Who are the main companies active on the market? " sqref="B13 B27" xr:uid="{00000000-0002-0000-0400-000006000000}"/>
    <dataValidation allowBlank="1" showInputMessage="1" showErrorMessage="1" prompt="Who are the main companies active in Flanders? " sqref="B14 B28" xr:uid="{00000000-0002-0000-0400-000007000000}"/>
    <dataValidation allowBlank="1" showInputMessage="1" showErrorMessage="1" prompt="What is the price (range) of the targeted product? " sqref="B15 B29" xr:uid="{00000000-0002-0000-0400-000008000000}"/>
    <dataValidation allowBlank="1" showInputMessage="1" showErrorMessage="1" prompt="What are the main applications of the targeted product? " sqref="B16 B30" xr:uid="{00000000-0002-0000-0400-000009000000}"/>
    <dataValidation allowBlank="1" showInputMessage="1" showErrorMessage="1" prompt="What is the main production technology on the market? " sqref="B18 B32" xr:uid="{00000000-0002-0000-0400-00000A000000}"/>
    <dataValidation allowBlank="1" showInputMessage="1" showErrorMessage="1" prompt="What is the targeted application? " sqref="B17 B31" xr:uid="{00000000-0002-0000-0400-00000C000000}"/>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87"/>
  <sheetViews>
    <sheetView zoomScaleNormal="100" workbookViewId="0">
      <pane xSplit="1" topLeftCell="B1" activePane="topRight" state="frozen"/>
      <selection pane="topRight" activeCell="C31" sqref="C31"/>
    </sheetView>
  </sheetViews>
  <sheetFormatPr defaultColWidth="9.109375" defaultRowHeight="11.4" x14ac:dyDescent="0.2"/>
  <cols>
    <col min="1" max="1" width="30.6640625" style="1" customWidth="1"/>
    <col min="2" max="2" width="1.33203125" style="1" customWidth="1"/>
    <col min="3" max="3" width="38.6640625" style="1" bestFit="1" customWidth="1"/>
    <col min="4" max="4" width="26.6640625" style="1" customWidth="1"/>
    <col min="5" max="14" width="20.6640625" style="1" customWidth="1"/>
    <col min="15" max="16384" width="9.109375" style="1"/>
  </cols>
  <sheetData>
    <row r="1" spans="3:12" ht="144" customHeight="1" x14ac:dyDescent="0.2"/>
    <row r="2" spans="3:12" ht="12" thickBot="1" x14ac:dyDescent="0.25">
      <c r="F2" s="270"/>
      <c r="J2" s="270"/>
    </row>
    <row r="3" spans="3:12" x14ac:dyDescent="0.2">
      <c r="C3" s="540" t="s">
        <v>26</v>
      </c>
      <c r="D3" s="541"/>
      <c r="E3" s="272"/>
      <c r="F3" s="272"/>
      <c r="G3" s="272"/>
      <c r="H3" s="272"/>
      <c r="I3" s="272"/>
      <c r="J3" s="272"/>
      <c r="K3" s="273"/>
      <c r="L3" s="270"/>
    </row>
    <row r="4" spans="3:12" x14ac:dyDescent="0.2">
      <c r="C4" s="274"/>
      <c r="D4" s="271"/>
      <c r="E4" s="271"/>
      <c r="F4" s="271"/>
      <c r="G4" s="271"/>
      <c r="H4" s="271"/>
      <c r="I4" s="271"/>
      <c r="J4" s="271"/>
      <c r="K4" s="275"/>
      <c r="L4" s="270"/>
    </row>
    <row r="5" spans="3:12" s="268" customFormat="1" ht="30.75" customHeight="1" x14ac:dyDescent="0.3">
      <c r="C5" s="276" t="s">
        <v>130</v>
      </c>
      <c r="D5" s="537" t="s">
        <v>131</v>
      </c>
      <c r="E5" s="538"/>
      <c r="F5" s="538"/>
      <c r="G5" s="538"/>
      <c r="H5" s="538"/>
      <c r="I5" s="538"/>
      <c r="J5" s="539"/>
      <c r="K5" s="277"/>
      <c r="L5" s="269"/>
    </row>
    <row r="6" spans="3:12" s="268" customFormat="1" ht="30.75" customHeight="1" x14ac:dyDescent="0.3">
      <c r="C6" s="276" t="s">
        <v>132</v>
      </c>
      <c r="D6" s="537"/>
      <c r="E6" s="538"/>
      <c r="F6" s="538"/>
      <c r="G6" s="538"/>
      <c r="H6" s="538"/>
      <c r="I6" s="538"/>
      <c r="J6" s="539"/>
      <c r="K6" s="277"/>
      <c r="L6" s="269"/>
    </row>
    <row r="7" spans="3:12" s="268" customFormat="1" ht="30.75" customHeight="1" x14ac:dyDescent="0.3">
      <c r="C7" s="276" t="s">
        <v>133</v>
      </c>
      <c r="D7" s="537"/>
      <c r="E7" s="538"/>
      <c r="F7" s="538"/>
      <c r="G7" s="538"/>
      <c r="H7" s="538"/>
      <c r="I7" s="538"/>
      <c r="J7" s="539"/>
      <c r="K7" s="277"/>
      <c r="L7" s="269"/>
    </row>
    <row r="8" spans="3:12" s="268" customFormat="1" ht="30.75" customHeight="1" x14ac:dyDescent="0.3">
      <c r="C8" s="276" t="s">
        <v>134</v>
      </c>
      <c r="D8" s="537"/>
      <c r="E8" s="538"/>
      <c r="F8" s="538"/>
      <c r="G8" s="538"/>
      <c r="H8" s="538"/>
      <c r="I8" s="538"/>
      <c r="J8" s="539"/>
      <c r="K8" s="277"/>
      <c r="L8" s="269"/>
    </row>
    <row r="9" spans="3:12" s="268" customFormat="1" ht="12" customHeight="1" thickBot="1" x14ac:dyDescent="0.35">
      <c r="C9" s="278"/>
      <c r="D9" s="279"/>
      <c r="E9" s="280"/>
      <c r="F9" s="279"/>
      <c r="G9" s="279"/>
      <c r="H9" s="279"/>
      <c r="I9" s="280"/>
      <c r="J9" s="279"/>
      <c r="K9" s="281"/>
    </row>
    <row r="10" spans="3:12" x14ac:dyDescent="0.2">
      <c r="D10" s="270"/>
      <c r="F10" s="270"/>
      <c r="G10" s="270"/>
      <c r="H10" s="270"/>
      <c r="J10" s="270"/>
    </row>
    <row r="11" spans="3:12" ht="12" thickBot="1" x14ac:dyDescent="0.25"/>
    <row r="12" spans="3:12" ht="14.25" customHeight="1" x14ac:dyDescent="0.2">
      <c r="C12" s="540" t="s">
        <v>135</v>
      </c>
      <c r="D12" s="541"/>
      <c r="E12" s="272"/>
      <c r="F12" s="272"/>
      <c r="G12" s="272"/>
      <c r="H12" s="272"/>
      <c r="I12" s="272"/>
      <c r="J12" s="272"/>
      <c r="K12" s="273"/>
    </row>
    <row r="13" spans="3:12" s="96" customFormat="1" x14ac:dyDescent="0.3">
      <c r="C13" s="464" t="s">
        <v>147</v>
      </c>
      <c r="D13" s="465" t="s">
        <v>136</v>
      </c>
      <c r="E13" s="466" t="str">
        <f>"1." &amp; " " &amp; C5</f>
        <v xml:space="preserve">1. Pathway 1 </v>
      </c>
      <c r="F13" s="466" t="str">
        <f>"2." &amp; " " &amp; C6</f>
        <v>2. Pathway 2</v>
      </c>
      <c r="G13" s="466" t="str">
        <f>"3." &amp; " " &amp; C7</f>
        <v>3. Pathway 3</v>
      </c>
      <c r="H13" s="466" t="str">
        <f>"4." &amp; " " &amp; C8</f>
        <v xml:space="preserve">4. Pathway 4 </v>
      </c>
      <c r="I13" s="282"/>
      <c r="J13" s="282"/>
      <c r="K13" s="289"/>
    </row>
    <row r="14" spans="3:12" s="96" customFormat="1" x14ac:dyDescent="0.2">
      <c r="C14" s="274" t="s">
        <v>137</v>
      </c>
      <c r="D14" s="283" t="s">
        <v>138</v>
      </c>
      <c r="E14" s="284">
        <v>55000</v>
      </c>
      <c r="F14" s="285"/>
      <c r="G14" s="285"/>
      <c r="H14" s="285"/>
      <c r="I14" s="286"/>
      <c r="J14" s="286"/>
      <c r="K14" s="290"/>
    </row>
    <row r="15" spans="3:12" x14ac:dyDescent="0.2">
      <c r="C15" s="274" t="s">
        <v>139</v>
      </c>
      <c r="D15" s="287" t="s">
        <v>140</v>
      </c>
      <c r="E15" s="284">
        <v>20</v>
      </c>
      <c r="F15" s="288"/>
      <c r="G15" s="288"/>
      <c r="H15" s="288"/>
      <c r="I15" s="271"/>
      <c r="J15" s="271"/>
      <c r="K15" s="275"/>
    </row>
    <row r="16" spans="3:12" ht="12" thickBot="1" x14ac:dyDescent="0.25">
      <c r="C16" s="352"/>
      <c r="D16" s="291"/>
      <c r="E16" s="292"/>
      <c r="F16" s="292"/>
      <c r="G16" s="292"/>
      <c r="H16" s="292"/>
      <c r="I16" s="292"/>
      <c r="J16" s="292"/>
      <c r="K16" s="293"/>
    </row>
    <row r="18" spans="3:11" ht="12" thickBot="1" x14ac:dyDescent="0.25"/>
    <row r="19" spans="3:11" s="96" customFormat="1" x14ac:dyDescent="0.2">
      <c r="C19" s="540" t="s">
        <v>141</v>
      </c>
      <c r="D19" s="541"/>
      <c r="E19" s="272"/>
      <c r="F19" s="272"/>
      <c r="G19" s="272"/>
      <c r="H19" s="272"/>
      <c r="I19" s="272"/>
      <c r="J19" s="272"/>
      <c r="K19" s="273"/>
    </row>
    <row r="20" spans="3:11" s="96" customFormat="1" x14ac:dyDescent="0.3">
      <c r="C20" s="467" t="s">
        <v>147</v>
      </c>
      <c r="D20" s="468"/>
      <c r="E20" s="469" t="str">
        <f>E13</f>
        <v xml:space="preserve">1. Pathway 1 </v>
      </c>
      <c r="F20" s="469" t="str">
        <f>F13</f>
        <v>2. Pathway 2</v>
      </c>
      <c r="G20" s="469" t="str">
        <f>G13</f>
        <v>3. Pathway 3</v>
      </c>
      <c r="H20" s="469" t="str">
        <f>H13</f>
        <v xml:space="preserve">4. Pathway 4 </v>
      </c>
      <c r="I20" s="469"/>
      <c r="J20" s="469"/>
      <c r="K20" s="470"/>
    </row>
    <row r="21" spans="3:11" x14ac:dyDescent="0.2">
      <c r="C21" s="274" t="s">
        <v>142</v>
      </c>
      <c r="D21" s="271"/>
      <c r="E21" s="471">
        <v>0</v>
      </c>
      <c r="F21" s="294"/>
      <c r="G21" s="294"/>
      <c r="H21" s="294"/>
      <c r="I21" s="271"/>
      <c r="J21" s="271"/>
      <c r="K21" s="275"/>
    </row>
    <row r="22" spans="3:11" x14ac:dyDescent="0.2">
      <c r="C22" s="274"/>
      <c r="D22" s="271"/>
      <c r="E22" s="294"/>
      <c r="F22" s="294"/>
      <c r="G22" s="294"/>
      <c r="H22" s="294"/>
      <c r="I22" s="271"/>
      <c r="J22" s="271"/>
      <c r="K22" s="275"/>
    </row>
    <row r="23" spans="3:11" x14ac:dyDescent="0.2">
      <c r="C23" s="274" t="s">
        <v>143</v>
      </c>
      <c r="D23" s="271"/>
      <c r="E23" s="471">
        <v>0</v>
      </c>
      <c r="F23" s="294"/>
      <c r="G23" s="294"/>
      <c r="H23" s="294"/>
      <c r="I23" s="271"/>
      <c r="J23" s="271"/>
      <c r="K23" s="275"/>
    </row>
    <row r="24" spans="3:11" x14ac:dyDescent="0.2">
      <c r="C24" s="274" t="s">
        <v>663</v>
      </c>
      <c r="D24" s="271"/>
      <c r="E24" s="295">
        <v>0</v>
      </c>
      <c r="F24" s="294"/>
      <c r="G24" s="294"/>
      <c r="H24" s="294"/>
      <c r="I24" s="271"/>
      <c r="J24" s="271"/>
      <c r="K24" s="275"/>
    </row>
    <row r="25" spans="3:11" x14ac:dyDescent="0.2">
      <c r="C25" s="274"/>
      <c r="D25" s="271"/>
      <c r="E25" s="294"/>
      <c r="F25" s="294"/>
      <c r="G25" s="294"/>
      <c r="H25" s="294"/>
      <c r="I25" s="271"/>
      <c r="J25" s="271"/>
      <c r="K25" s="275"/>
    </row>
    <row r="26" spans="3:11" x14ac:dyDescent="0.2">
      <c r="C26" s="274" t="s">
        <v>144</v>
      </c>
      <c r="D26" s="271"/>
      <c r="E26" s="295">
        <v>1</v>
      </c>
      <c r="F26" s="294"/>
      <c r="G26" s="294"/>
      <c r="H26" s="294"/>
      <c r="I26" s="271"/>
      <c r="J26" s="271"/>
      <c r="K26" s="275"/>
    </row>
    <row r="27" spans="3:11" x14ac:dyDescent="0.2">
      <c r="C27" s="274"/>
      <c r="D27" s="271"/>
      <c r="E27" s="271"/>
      <c r="F27" s="271"/>
      <c r="G27" s="294"/>
      <c r="H27" s="294"/>
      <c r="I27" s="271"/>
      <c r="J27" s="271"/>
      <c r="K27" s="275"/>
    </row>
    <row r="28" spans="3:11" x14ac:dyDescent="0.2">
      <c r="C28" s="274" t="s">
        <v>145</v>
      </c>
      <c r="D28" s="271"/>
      <c r="E28" s="295">
        <v>0</v>
      </c>
      <c r="F28" s="271"/>
      <c r="G28" s="294"/>
      <c r="H28" s="294"/>
      <c r="I28" s="271"/>
      <c r="J28" s="271"/>
      <c r="K28" s="275"/>
    </row>
    <row r="29" spans="3:11" ht="12.6" thickBot="1" x14ac:dyDescent="0.3">
      <c r="C29" s="352"/>
      <c r="D29" s="292"/>
      <c r="E29" s="296"/>
      <c r="F29" s="296"/>
      <c r="G29" s="296"/>
      <c r="H29" s="472"/>
      <c r="I29" s="292"/>
      <c r="J29" s="292"/>
      <c r="K29" s="293"/>
    </row>
    <row r="32" spans="3:11" ht="12" thickBot="1" x14ac:dyDescent="0.25"/>
    <row r="33" spans="3:11" x14ac:dyDescent="0.2">
      <c r="C33" s="540" t="s">
        <v>596</v>
      </c>
      <c r="D33" s="541"/>
      <c r="E33" s="272"/>
      <c r="F33" s="272"/>
      <c r="G33" s="272"/>
      <c r="H33" s="272"/>
      <c r="I33" s="272"/>
      <c r="J33" s="272"/>
      <c r="K33" s="273"/>
    </row>
    <row r="34" spans="3:11" s="96" customFormat="1" x14ac:dyDescent="0.3">
      <c r="C34" s="473" t="s">
        <v>147</v>
      </c>
      <c r="D34" s="474" t="s">
        <v>136</v>
      </c>
      <c r="E34" s="474" t="str">
        <f>E20</f>
        <v xml:space="preserve">1. Pathway 1 </v>
      </c>
      <c r="F34" s="474" t="str">
        <f>F20</f>
        <v>2. Pathway 2</v>
      </c>
      <c r="G34" s="474" t="str">
        <f>G20</f>
        <v>3. Pathway 3</v>
      </c>
      <c r="H34" s="474" t="str">
        <f>H20</f>
        <v xml:space="preserve">4. Pathway 4 </v>
      </c>
      <c r="I34" s="474"/>
      <c r="J34" s="474"/>
      <c r="K34" s="475"/>
    </row>
    <row r="35" spans="3:11" s="96" customFormat="1" x14ac:dyDescent="0.3">
      <c r="C35" s="298" t="s">
        <v>148</v>
      </c>
      <c r="D35" s="309"/>
      <c r="E35" s="330"/>
      <c r="F35" s="330"/>
      <c r="G35" s="330"/>
      <c r="H35" s="330"/>
      <c r="I35" s="309"/>
      <c r="J35" s="309"/>
      <c r="K35" s="310"/>
    </row>
    <row r="36" spans="3:11" s="96" customFormat="1" x14ac:dyDescent="0.2">
      <c r="C36" s="299" t="s">
        <v>149</v>
      </c>
      <c r="D36" s="271" t="s">
        <v>150</v>
      </c>
      <c r="E36" s="331">
        <f>'1. Pathway 1'!E30+'1. Pathway 1'!E45</f>
        <v>16836.734693877548</v>
      </c>
      <c r="F36" s="332"/>
      <c r="G36" s="332"/>
      <c r="H36" s="332"/>
      <c r="I36" s="286"/>
      <c r="J36" s="286"/>
      <c r="K36" s="290"/>
    </row>
    <row r="37" spans="3:11" s="96" customFormat="1" x14ac:dyDescent="0.2">
      <c r="C37" s="299" t="s">
        <v>151</v>
      </c>
      <c r="D37" s="271" t="s">
        <v>138</v>
      </c>
      <c r="E37" s="331">
        <f>'1. Pathway 1'!E25+'1. Pathway 1'!E40+'1. Pathway 1'!E58</f>
        <v>58995.918367346938</v>
      </c>
      <c r="F37" s="332"/>
      <c r="G37" s="332"/>
      <c r="H37" s="332"/>
      <c r="I37" s="286"/>
      <c r="J37" s="286"/>
      <c r="K37" s="290"/>
    </row>
    <row r="38" spans="3:11" s="96" customFormat="1" x14ac:dyDescent="0.2">
      <c r="C38" s="299"/>
      <c r="D38" s="271"/>
      <c r="E38" s="332"/>
      <c r="F38" s="332"/>
      <c r="G38" s="332"/>
      <c r="H38" s="332"/>
      <c r="I38" s="286"/>
      <c r="J38" s="286"/>
      <c r="K38" s="290"/>
    </row>
    <row r="39" spans="3:11" s="96" customFormat="1" x14ac:dyDescent="0.2">
      <c r="C39" s="300" t="s">
        <v>152</v>
      </c>
      <c r="D39" s="271"/>
      <c r="E39" s="332"/>
      <c r="F39" s="332"/>
      <c r="G39" s="332"/>
      <c r="H39" s="332"/>
      <c r="I39" s="286"/>
      <c r="J39" s="286"/>
      <c r="K39" s="290"/>
    </row>
    <row r="40" spans="3:11" s="96" customFormat="1" x14ac:dyDescent="0.2">
      <c r="C40" s="299" t="s">
        <v>153</v>
      </c>
      <c r="D40" s="271" t="s">
        <v>154</v>
      </c>
      <c r="E40" s="331">
        <f>('1. Pathway 1'!E34+'1. Pathway 1'!E49)/1000</f>
        <v>998.97959183673458</v>
      </c>
      <c r="F40" s="332"/>
      <c r="G40" s="332"/>
      <c r="H40" s="332"/>
      <c r="I40" s="286"/>
      <c r="J40" s="286"/>
      <c r="K40" s="290"/>
    </row>
    <row r="41" spans="3:11" s="96" customFormat="1" x14ac:dyDescent="0.2">
      <c r="C41" s="299" t="s">
        <v>155</v>
      </c>
      <c r="D41" s="271" t="s">
        <v>154</v>
      </c>
      <c r="E41" s="331">
        <f>('1. Pathway 1'!E36+'1. Pathway 1'!E51)/1000</f>
        <v>7447.0000000000009</v>
      </c>
      <c r="F41" s="332"/>
      <c r="G41" s="332"/>
      <c r="H41" s="332"/>
      <c r="I41" s="286"/>
      <c r="J41" s="286"/>
      <c r="K41" s="290"/>
    </row>
    <row r="42" spans="3:11" s="96" customFormat="1" x14ac:dyDescent="0.2">
      <c r="C42" s="299"/>
      <c r="D42" s="271"/>
      <c r="E42" s="332"/>
      <c r="F42" s="332"/>
      <c r="G42" s="332"/>
      <c r="H42" s="332"/>
      <c r="I42" s="286"/>
      <c r="J42" s="286"/>
      <c r="K42" s="290"/>
    </row>
    <row r="43" spans="3:11" s="96" customFormat="1" x14ac:dyDescent="0.2">
      <c r="C43" s="300" t="s">
        <v>156</v>
      </c>
      <c r="D43" s="286"/>
      <c r="E43" s="332"/>
      <c r="F43" s="332"/>
      <c r="G43" s="332"/>
      <c r="H43" s="332"/>
      <c r="I43" s="286"/>
      <c r="J43" s="286"/>
      <c r="K43" s="290"/>
    </row>
    <row r="44" spans="3:11" s="96" customFormat="1" x14ac:dyDescent="0.2">
      <c r="C44" s="299" t="s">
        <v>157</v>
      </c>
      <c r="D44" s="271" t="s">
        <v>170</v>
      </c>
      <c r="E44" s="328" t="str">
        <f>'1. Pathway 1'!D72</f>
        <v>-</v>
      </c>
      <c r="F44" s="332" t="str">
        <f>IF('2. Pathway 2'!$D70=0,"-",'2. Pathway 2'!$D70)</f>
        <v>-</v>
      </c>
      <c r="G44" s="332" t="str">
        <f>IF('3. Pathway 3'!$D70=0,"-",'3. Pathway 3'!$D70)</f>
        <v>-</v>
      </c>
      <c r="H44" s="332" t="str">
        <f>IF('4. Pathway 4'!$D70=0,"-",'4. Pathway 4'!$D70)</f>
        <v>-</v>
      </c>
      <c r="I44" s="286"/>
      <c r="J44" s="286"/>
      <c r="K44" s="290"/>
    </row>
    <row r="45" spans="3:11" s="96" customFormat="1" x14ac:dyDescent="0.2">
      <c r="C45" s="299" t="s">
        <v>158</v>
      </c>
      <c r="D45" s="271" t="s">
        <v>170</v>
      </c>
      <c r="E45" s="328" t="str">
        <f>'1. Pathway 1'!D73</f>
        <v>-</v>
      </c>
      <c r="F45" s="332" t="str">
        <f>IF('2. Pathway 2'!$D71=0,"-",'2. Pathway 2'!$D71)</f>
        <v>-</v>
      </c>
      <c r="G45" s="332" t="str">
        <f>IF('3. Pathway 3'!$D71=0,"-",'3. Pathway 3'!$D71)</f>
        <v>-</v>
      </c>
      <c r="H45" s="332" t="str">
        <f>IF('4. Pathway 4'!$D71=0,"-",'4. Pathway 4'!$D71)</f>
        <v>-</v>
      </c>
      <c r="I45" s="286"/>
      <c r="J45" s="286"/>
      <c r="K45" s="290"/>
    </row>
    <row r="46" spans="3:11" s="96" customFormat="1" x14ac:dyDescent="0.2">
      <c r="C46" s="299" t="s">
        <v>159</v>
      </c>
      <c r="D46" s="271" t="s">
        <v>170</v>
      </c>
      <c r="E46" s="328" t="str">
        <f>'1. Pathway 1'!D74</f>
        <v>-</v>
      </c>
      <c r="F46" s="332" t="str">
        <f>IF('2. Pathway 2'!$D72=0,"-",'2. Pathway 2'!$D72)</f>
        <v>-</v>
      </c>
      <c r="G46" s="332" t="str">
        <f>IF('3. Pathway 3'!$D72=0,"-",'3. Pathway 3'!$D72)</f>
        <v>-</v>
      </c>
      <c r="H46" s="332" t="str">
        <f>IF('4. Pathway 4'!$D72=0,"-",'4. Pathway 4'!$D72)</f>
        <v>-</v>
      </c>
      <c r="I46" s="286"/>
      <c r="J46" s="286"/>
      <c r="K46" s="290"/>
    </row>
    <row r="47" spans="3:11" s="96" customFormat="1" x14ac:dyDescent="0.2">
      <c r="C47" s="299" t="s">
        <v>160</v>
      </c>
      <c r="D47" s="271" t="s">
        <v>170</v>
      </c>
      <c r="E47" s="328" t="str">
        <f>'1. Pathway 1'!D75</f>
        <v>-</v>
      </c>
      <c r="F47" s="332" t="str">
        <f>IF('2. Pathway 2'!$D73=0,"-",'2. Pathway 2'!$D73)</f>
        <v>-</v>
      </c>
      <c r="G47" s="332" t="str">
        <f>IF('3. Pathway 3'!$D73=0,"-",'3. Pathway 3'!$D73)</f>
        <v>-</v>
      </c>
      <c r="H47" s="332" t="str">
        <f>IF('4. Pathway 4'!$D73=0,"-",'4. Pathway 4'!$D73)</f>
        <v>-</v>
      </c>
      <c r="I47" s="286"/>
      <c r="J47" s="286"/>
      <c r="K47" s="290"/>
    </row>
    <row r="48" spans="3:11" s="96" customFormat="1" x14ac:dyDescent="0.2">
      <c r="C48" s="299" t="s">
        <v>161</v>
      </c>
      <c r="D48" s="271" t="s">
        <v>170</v>
      </c>
      <c r="E48" s="328" t="str">
        <f>'1. Pathway 1'!D76</f>
        <v>-</v>
      </c>
      <c r="F48" s="332" t="str">
        <f>IF('2. Pathway 2'!$D74=0,"-",'2. Pathway 2'!$D74)</f>
        <v>-</v>
      </c>
      <c r="G48" s="332" t="str">
        <f>IF('3. Pathway 3'!$D74=0,"-",'3. Pathway 3'!$D74)</f>
        <v>-</v>
      </c>
      <c r="H48" s="332" t="str">
        <f>IF('4. Pathway 4'!$D74=0,"-",'4. Pathway 4'!$D74)</f>
        <v>-</v>
      </c>
      <c r="I48" s="286"/>
      <c r="J48" s="286"/>
      <c r="K48" s="290"/>
    </row>
    <row r="49" spans="1:11" s="96" customFormat="1" x14ac:dyDescent="0.2">
      <c r="C49" s="301" t="s">
        <v>162</v>
      </c>
      <c r="D49" s="297" t="s">
        <v>170</v>
      </c>
      <c r="E49" s="329">
        <f>'1. Pathway 1'!D77</f>
        <v>0.12</v>
      </c>
      <c r="F49" s="332" t="str">
        <f>IF('2. Pathway 2'!$D75=0,"-",'2. Pathway 2'!$D75)</f>
        <v>-</v>
      </c>
      <c r="G49" s="332" t="str">
        <f>IF('3. Pathway 3'!$D75=0,"-",'3. Pathway 3'!$D75)</f>
        <v>-</v>
      </c>
      <c r="H49" s="332" t="str">
        <f>IF('4. Pathway 4'!$D75=0,"-",'4. Pathway 4'!$D75)</f>
        <v>-</v>
      </c>
      <c r="I49" s="311"/>
      <c r="J49" s="311"/>
      <c r="K49" s="312"/>
    </row>
    <row r="50" spans="1:11" x14ac:dyDescent="0.2">
      <c r="A50" s="42"/>
      <c r="B50" s="270"/>
      <c r="C50" s="302" t="s">
        <v>163</v>
      </c>
      <c r="D50" s="313" t="s">
        <v>164</v>
      </c>
      <c r="E50" s="314">
        <f>'1. Pathway 1'!E82</f>
        <v>10822372.44897959</v>
      </c>
      <c r="F50" s="314">
        <f>'2. Pathway 2'!E80</f>
        <v>0</v>
      </c>
      <c r="G50" s="314">
        <f>'3. Pathway 3'!E80</f>
        <v>0</v>
      </c>
      <c r="H50" s="314">
        <f>'4. Pathway 4'!E80</f>
        <v>0</v>
      </c>
      <c r="I50" s="313"/>
      <c r="J50" s="313"/>
      <c r="K50" s="315"/>
    </row>
    <row r="51" spans="1:11" x14ac:dyDescent="0.2">
      <c r="C51" s="303" t="s">
        <v>165</v>
      </c>
      <c r="D51" s="271" t="s">
        <v>166</v>
      </c>
      <c r="E51" s="316">
        <f>'1. Pathway 1'!F91</f>
        <v>9250278.8265306111</v>
      </c>
      <c r="F51" s="316">
        <f>'2. Pathway 2'!F86</f>
        <v>0</v>
      </c>
      <c r="G51" s="316">
        <f>'3. Pathway 3'!F86</f>
        <v>0</v>
      </c>
      <c r="H51" s="316">
        <f>'4. Pathway 4'!F86</f>
        <v>0</v>
      </c>
      <c r="I51" s="271"/>
      <c r="J51" s="271"/>
      <c r="K51" s="275"/>
    </row>
    <row r="52" spans="1:11" x14ac:dyDescent="0.2">
      <c r="C52" s="303" t="s">
        <v>167</v>
      </c>
      <c r="D52" s="271" t="s">
        <v>166</v>
      </c>
      <c r="E52" s="316">
        <f>'1. Pathway 1'!F112</f>
        <v>4308692.3673469387</v>
      </c>
      <c r="F52" s="316">
        <f>'2. Pathway 2'!F108</f>
        <v>0</v>
      </c>
      <c r="G52" s="316">
        <f>'3. Pathway 3'!F108</f>
        <v>0</v>
      </c>
      <c r="H52" s="316">
        <f>'4. Pathway 4'!F108</f>
        <v>0</v>
      </c>
      <c r="I52" s="271"/>
      <c r="J52" s="271"/>
      <c r="K52" s="275"/>
    </row>
    <row r="53" spans="1:11" x14ac:dyDescent="0.2">
      <c r="C53" s="303" t="s">
        <v>168</v>
      </c>
      <c r="D53" s="271" t="s">
        <v>164</v>
      </c>
      <c r="E53" s="316">
        <f>'1. Pathway 1'!D138</f>
        <v>-55507717.992026873</v>
      </c>
      <c r="F53" s="316">
        <f>'2. Pathway 2'!$D135</f>
        <v>0</v>
      </c>
      <c r="G53" s="316">
        <f>'3. Pathway 3'!$D135</f>
        <v>0</v>
      </c>
      <c r="H53" s="316">
        <f>'4. Pathway 4'!$D135</f>
        <v>0</v>
      </c>
      <c r="I53" s="271"/>
      <c r="J53" s="271"/>
      <c r="K53" s="275"/>
    </row>
    <row r="54" spans="1:11" x14ac:dyDescent="0.2">
      <c r="C54" s="303" t="s">
        <v>169</v>
      </c>
      <c r="D54" s="271" t="s">
        <v>170</v>
      </c>
      <c r="E54" s="317">
        <f>IFERROR('1. Pathway 1'!D139,0)</f>
        <v>0</v>
      </c>
      <c r="F54" s="317">
        <f>IFERROR('2. Pathway 2'!$D136,0)</f>
        <v>0</v>
      </c>
      <c r="G54" s="317">
        <f>IFERROR('3. Pathway 3'!$D136,0)</f>
        <v>0</v>
      </c>
      <c r="H54" s="317">
        <f>IFERROR('4. Pathway 4'!$D136,0)</f>
        <v>0</v>
      </c>
      <c r="I54" s="271"/>
      <c r="J54" s="271"/>
      <c r="K54" s="275"/>
    </row>
    <row r="55" spans="1:11" x14ac:dyDescent="0.2">
      <c r="C55" s="303" t="s">
        <v>171</v>
      </c>
      <c r="D55" s="271" t="s">
        <v>172</v>
      </c>
      <c r="E55" s="323">
        <f>'1. Pathway 1'!D140</f>
        <v>30</v>
      </c>
      <c r="F55" s="316">
        <f>'2. Pathway 2'!$D137</f>
        <v>0</v>
      </c>
      <c r="G55" s="316">
        <f>'3. Pathway 3'!$D137</f>
        <v>0</v>
      </c>
      <c r="H55" s="316">
        <f>'4. Pathway 4'!$D137</f>
        <v>0</v>
      </c>
      <c r="I55" s="271"/>
      <c r="J55" s="271"/>
      <c r="K55" s="275"/>
    </row>
    <row r="56" spans="1:11" x14ac:dyDescent="0.2">
      <c r="C56" s="303" t="s">
        <v>173</v>
      </c>
      <c r="D56" s="271" t="s">
        <v>172</v>
      </c>
      <c r="E56" s="323">
        <f>'1. Pathway 1'!D141</f>
        <v>30</v>
      </c>
      <c r="F56" s="316">
        <f>'2. Pathway 2'!$D138</f>
        <v>0</v>
      </c>
      <c r="G56" s="316">
        <f>'3. Pathway 3'!$D138</f>
        <v>0</v>
      </c>
      <c r="H56" s="316">
        <f>'4. Pathway 4'!$D138</f>
        <v>0</v>
      </c>
      <c r="I56" s="271"/>
      <c r="J56" s="271"/>
      <c r="K56" s="275"/>
    </row>
    <row r="57" spans="1:11" x14ac:dyDescent="0.2">
      <c r="C57" s="303" t="s">
        <v>174</v>
      </c>
      <c r="D57" s="271" t="s">
        <v>166</v>
      </c>
      <c r="E57" s="316">
        <f>'1. Pathway 1'!D142</f>
        <v>9250278.8265306111</v>
      </c>
      <c r="F57" s="316">
        <f>'2. Pathway 2'!$D139</f>
        <v>0</v>
      </c>
      <c r="G57" s="316">
        <f>'3. Pathway 3'!$D139</f>
        <v>0</v>
      </c>
      <c r="H57" s="316">
        <f>'4. Pathway 4'!$D139</f>
        <v>0</v>
      </c>
      <c r="I57" s="271"/>
      <c r="J57" s="271"/>
      <c r="K57" s="275"/>
    </row>
    <row r="58" spans="1:11" x14ac:dyDescent="0.2">
      <c r="A58" s="42"/>
      <c r="B58" s="270"/>
      <c r="C58" s="303" t="s">
        <v>175</v>
      </c>
      <c r="D58" s="271" t="str">
        <f>'1. Pathway 1'!C143</f>
        <v>€/ton H2</v>
      </c>
      <c r="E58" s="318">
        <f>'1. Pathway 1'!D143</f>
        <v>10698.319835472179</v>
      </c>
      <c r="F58" s="316">
        <f>'2. Pathway 2'!$D140</f>
        <v>0</v>
      </c>
      <c r="G58" s="316">
        <f>'3. Pathway 3'!$D140</f>
        <v>0</v>
      </c>
      <c r="H58" s="316">
        <f>'4. Pathway 4'!$D140</f>
        <v>0</v>
      </c>
      <c r="I58" s="271"/>
      <c r="J58" s="271"/>
      <c r="K58" s="275"/>
    </row>
    <row r="59" spans="1:11" x14ac:dyDescent="0.2">
      <c r="C59" s="304" t="s">
        <v>176</v>
      </c>
      <c r="D59" s="271" t="str">
        <f>'1. Pathway 1'!C144</f>
        <v>€/ton H2</v>
      </c>
      <c r="E59" s="319">
        <f>'1. Pathway 1'!D144</f>
        <v>1438.592307382291</v>
      </c>
      <c r="F59" s="316">
        <f>'2. Pathway 2'!$D141</f>
        <v>0</v>
      </c>
      <c r="G59" s="316">
        <f>'3. Pathway 3'!$D141</f>
        <v>0</v>
      </c>
      <c r="H59" s="316">
        <f>'4. Pathway 4'!$D141</f>
        <v>0</v>
      </c>
      <c r="I59" s="271"/>
      <c r="J59" s="271"/>
      <c r="K59" s="275"/>
    </row>
    <row r="60" spans="1:11" x14ac:dyDescent="0.2">
      <c r="C60" s="305" t="s">
        <v>177</v>
      </c>
      <c r="D60" s="320" t="str">
        <f>'1. Pathway 1'!C145</f>
        <v>€/ton H2</v>
      </c>
      <c r="E60" s="321">
        <f>'1. Pathway 1'!D145</f>
        <v>9259.7275280898884</v>
      </c>
      <c r="F60" s="316">
        <f>'2. Pathway 2'!$D142</f>
        <v>0</v>
      </c>
      <c r="G60" s="316">
        <f>'3. Pathway 3'!$D142</f>
        <v>0</v>
      </c>
      <c r="H60" s="316">
        <f>'4. Pathway 4'!$D142</f>
        <v>0</v>
      </c>
      <c r="I60" s="320"/>
      <c r="J60" s="320"/>
      <c r="K60" s="322"/>
    </row>
    <row r="61" spans="1:11" x14ac:dyDescent="0.2">
      <c r="C61" s="306" t="s">
        <v>651</v>
      </c>
      <c r="D61" s="313" t="str">
        <f>'1. Pathway 1'!C175</f>
        <v>ton CO2eq/ton H2</v>
      </c>
      <c r="E61" s="324">
        <f>'1. Pathway 1'!D175</f>
        <v>10.666985432584269</v>
      </c>
      <c r="F61" s="324">
        <f>'2. Pathway 2'!D174</f>
        <v>0</v>
      </c>
      <c r="G61" s="324">
        <f>'3. Pathway 3'!D174</f>
        <v>0</v>
      </c>
      <c r="H61" s="324">
        <f>'4. Pathway 4'!D174</f>
        <v>0</v>
      </c>
      <c r="I61" s="313"/>
      <c r="J61" s="313"/>
      <c r="K61" s="315"/>
    </row>
    <row r="62" spans="1:11" x14ac:dyDescent="0.2">
      <c r="C62" s="307"/>
      <c r="D62" s="271" t="str">
        <f>'1. Pathway 1'!C176</f>
        <v>ton CO2eq/yr</v>
      </c>
      <c r="E62" s="325">
        <f>'1. Pathway 1'!D176</f>
        <v>10656.100753571427</v>
      </c>
      <c r="F62" s="325">
        <f>'2. Pathway 2'!D175</f>
        <v>0</v>
      </c>
      <c r="G62" s="325">
        <f>'3. Pathway 3'!D175</f>
        <v>0</v>
      </c>
      <c r="H62" s="325">
        <f>'4. Pathway 4'!D175</f>
        <v>0</v>
      </c>
      <c r="I62" s="271"/>
      <c r="J62" s="271"/>
      <c r="K62" s="275"/>
    </row>
    <row r="63" spans="1:11" ht="13.8" x14ac:dyDescent="0.3">
      <c r="C63" s="307" t="s">
        <v>472</v>
      </c>
      <c r="D63" s="271" t="str">
        <f>'1. Pathway 1'!C177</f>
        <v>ton CO2eq/ton H2</v>
      </c>
      <c r="E63" s="476">
        <f>'1. Pathway 1'!D177</f>
        <v>0.53301456741573006</v>
      </c>
      <c r="F63" s="325">
        <f>'2. Pathway 2'!D176</f>
        <v>0</v>
      </c>
      <c r="G63" s="325">
        <f>'3. Pathway 3'!D176</f>
        <v>0</v>
      </c>
      <c r="H63" s="325">
        <f>'4. Pathway 4'!D176</f>
        <v>0</v>
      </c>
      <c r="I63" s="271"/>
      <c r="J63" s="271"/>
      <c r="K63" s="275"/>
    </row>
    <row r="64" spans="1:11" x14ac:dyDescent="0.2">
      <c r="C64" s="308"/>
      <c r="D64" s="320" t="str">
        <f>'1. Pathway 1'!C178</f>
        <v>ton CO2eq/yr</v>
      </c>
      <c r="E64" s="326">
        <f>'1. Pathway 1'!D178</f>
        <v>532.47067499999969</v>
      </c>
      <c r="F64" s="326">
        <f>'2. Pathway 2'!D177</f>
        <v>0</v>
      </c>
      <c r="G64" s="326">
        <f>'3. Pathway 3'!D177</f>
        <v>0</v>
      </c>
      <c r="H64" s="326">
        <f>'4. Pathway 4'!D177</f>
        <v>0</v>
      </c>
      <c r="I64" s="320"/>
      <c r="J64" s="320"/>
      <c r="K64" s="322"/>
    </row>
    <row r="65" spans="1:17" x14ac:dyDescent="0.2">
      <c r="A65" s="42"/>
      <c r="B65" s="270"/>
      <c r="C65" s="384" t="s">
        <v>180</v>
      </c>
      <c r="D65" s="271" t="str">
        <f>'1. Pathway 1'!C181</f>
        <v>€/ton CO2eq avoided</v>
      </c>
      <c r="E65" s="325">
        <f>'1. Pathway 1'!D181</f>
        <v>20071.346055966078</v>
      </c>
      <c r="F65" s="325">
        <f>'2. Pathway 2'!D180</f>
        <v>0</v>
      </c>
      <c r="G65" s="325">
        <f>'3. Pathway 3'!D180</f>
        <v>0</v>
      </c>
      <c r="H65" s="325">
        <f>'4. Pathway 4'!D180</f>
        <v>0</v>
      </c>
      <c r="I65" s="271"/>
      <c r="J65" s="271"/>
      <c r="K65" s="275"/>
    </row>
    <row r="66" spans="1:17" ht="14.4" thickBot="1" x14ac:dyDescent="0.35">
      <c r="C66" s="385" t="s">
        <v>475</v>
      </c>
      <c r="D66" s="292" t="str">
        <f>'1. Pathway 1'!C182</f>
        <v>MWh/ton CO2eq avoided</v>
      </c>
      <c r="E66" s="327">
        <f>'1. Pathway 1'!D182</f>
        <v>110.79655864118146</v>
      </c>
      <c r="F66" s="327">
        <f>'2. Pathway 2'!D181</f>
        <v>0</v>
      </c>
      <c r="G66" s="327">
        <f>'3. Pathway 3'!D181</f>
        <v>0</v>
      </c>
      <c r="H66" s="327">
        <f>'4. Pathway 4'!D181</f>
        <v>0</v>
      </c>
      <c r="I66" s="292"/>
      <c r="J66" s="292"/>
      <c r="K66" s="293"/>
    </row>
    <row r="69" spans="1:17" x14ac:dyDescent="0.2">
      <c r="C69" s="6" t="s">
        <v>181</v>
      </c>
    </row>
    <row r="70" spans="1:17" x14ac:dyDescent="0.2">
      <c r="C70" s="50" t="s">
        <v>182</v>
      </c>
    </row>
    <row r="71" spans="1:17" ht="84.9" customHeight="1" x14ac:dyDescent="0.2">
      <c r="C71" s="527" t="s">
        <v>183</v>
      </c>
      <c r="D71" s="528"/>
      <c r="E71" s="528"/>
      <c r="F71" s="528"/>
      <c r="G71" s="528"/>
      <c r="H71" s="528"/>
      <c r="I71" s="528"/>
      <c r="J71" s="529"/>
      <c r="K71" s="12"/>
      <c r="L71" s="12"/>
      <c r="M71" s="12"/>
      <c r="N71" s="12"/>
      <c r="O71" s="12"/>
      <c r="P71" s="12"/>
      <c r="Q71" s="12"/>
    </row>
    <row r="73" spans="1:17" x14ac:dyDescent="0.2">
      <c r="C73" s="6" t="s">
        <v>184</v>
      </c>
    </row>
    <row r="74" spans="1:17" x14ac:dyDescent="0.2">
      <c r="C74" s="50" t="s">
        <v>185</v>
      </c>
    </row>
    <row r="75" spans="1:17" ht="84.9" customHeight="1" x14ac:dyDescent="0.2">
      <c r="C75" s="527"/>
      <c r="D75" s="528"/>
      <c r="E75" s="528"/>
      <c r="F75" s="528"/>
      <c r="G75" s="528"/>
      <c r="H75" s="528"/>
      <c r="I75" s="528"/>
      <c r="J75" s="529"/>
      <c r="K75" s="12"/>
      <c r="L75" s="12"/>
      <c r="M75" s="12"/>
      <c r="N75" s="12"/>
      <c r="O75" s="12"/>
      <c r="P75" s="12"/>
      <c r="Q75" s="12"/>
    </row>
    <row r="77" spans="1:17" x14ac:dyDescent="0.2">
      <c r="C77" s="6" t="s">
        <v>186</v>
      </c>
    </row>
    <row r="78" spans="1:17" x14ac:dyDescent="0.2">
      <c r="C78" s="50" t="s">
        <v>187</v>
      </c>
    </row>
    <row r="79" spans="1:17" ht="84.9" customHeight="1" x14ac:dyDescent="0.2">
      <c r="C79" s="527"/>
      <c r="D79" s="528"/>
      <c r="E79" s="528"/>
      <c r="F79" s="528"/>
      <c r="G79" s="528"/>
      <c r="H79" s="528"/>
      <c r="I79" s="528"/>
      <c r="J79" s="529"/>
    </row>
    <row r="81" spans="3:10" x14ac:dyDescent="0.2">
      <c r="C81" s="6" t="s">
        <v>188</v>
      </c>
    </row>
    <row r="82" spans="3:10" x14ac:dyDescent="0.2">
      <c r="C82" s="50" t="s">
        <v>189</v>
      </c>
    </row>
    <row r="83" spans="3:10" ht="84.9" customHeight="1" x14ac:dyDescent="0.2">
      <c r="C83" s="527"/>
      <c r="D83" s="528"/>
      <c r="E83" s="528"/>
      <c r="F83" s="528"/>
      <c r="G83" s="528"/>
      <c r="H83" s="528"/>
      <c r="I83" s="528"/>
      <c r="J83" s="529"/>
    </row>
    <row r="85" spans="3:10" x14ac:dyDescent="0.2">
      <c r="C85" s="6" t="s">
        <v>190</v>
      </c>
    </row>
    <row r="86" spans="3:10" x14ac:dyDescent="0.2">
      <c r="C86" s="50" t="s">
        <v>191</v>
      </c>
    </row>
    <row r="87" spans="3:10" ht="84.9" customHeight="1" x14ac:dyDescent="0.2">
      <c r="C87" s="527"/>
      <c r="D87" s="528"/>
      <c r="E87" s="528"/>
      <c r="F87" s="528"/>
      <c r="G87" s="528"/>
      <c r="H87" s="528"/>
      <c r="I87" s="528"/>
      <c r="J87" s="529"/>
    </row>
  </sheetData>
  <mergeCells count="13">
    <mergeCell ref="C3:D3"/>
    <mergeCell ref="C12:D12"/>
    <mergeCell ref="C19:D19"/>
    <mergeCell ref="C33:D33"/>
    <mergeCell ref="C75:J75"/>
    <mergeCell ref="C79:J79"/>
    <mergeCell ref="C83:J83"/>
    <mergeCell ref="C87:J87"/>
    <mergeCell ref="D5:J5"/>
    <mergeCell ref="D6:J6"/>
    <mergeCell ref="D7:J7"/>
    <mergeCell ref="D8:J8"/>
    <mergeCell ref="C71:J71"/>
  </mergeCells>
  <conditionalFormatting sqref="E14">
    <cfRule type="expression" dxfId="8" priority="3">
      <formula>$E$21=1</formula>
    </cfRule>
  </conditionalFormatting>
  <conditionalFormatting sqref="E15">
    <cfRule type="expression" dxfId="7" priority="1">
      <formula>$E$21=0</formula>
    </cfRule>
  </conditionalFormatting>
  <dataValidations count="7">
    <dataValidation allowBlank="1" showInputMessage="1" showErrorMessage="1" prompt="Total amount of feedstock processed in the plant in 1 year. " sqref="C14" xr:uid="{00000000-0002-0000-0500-000000000000}"/>
    <dataValidation allowBlank="1" showInputMessage="1" showErrorMessage="1" prompt="Total amount of targeted product produced in 1 year. " sqref="C15" xr:uid="{00000000-0002-0000-0500-000001000000}"/>
    <dataValidation type="whole" allowBlank="1" showInputMessage="1" showErrorMessage="1" error="Should be 0 or 1." prompt="0 = start from electricity input_x000a_1 = start from installed capacity " sqref="E21" xr:uid="{00000000-0002-0000-0500-000002000000}">
      <formula1>0</formula1>
      <formula2>1</formula2>
    </dataValidation>
    <dataValidation type="whole" allowBlank="1" showInputMessage="1" showErrorMessage="1" error="Should be 0 or 1. " prompt="0 = PEM electrolyser_x000a_1 = Alkaline electrolyser " sqref="E23" xr:uid="{00000000-0002-0000-0500-000003000000}">
      <formula1>0</formula1>
      <formula2>1</formula2>
    </dataValidation>
    <dataValidation type="whole" allowBlank="1" showInputMessage="1" showErrorMessage="1" error="Should be 0 or 1." prompt="0 = no oxygen sold_x000a_1 = oxygen sold" sqref="E26" xr:uid="{00000000-0002-0000-0500-000004000000}">
      <formula1>0</formula1>
      <formula2>1</formula2>
    </dataValidation>
    <dataValidation type="whole" allowBlank="1" showInputMessage="1" showErrorMessage="1" error="Should be 0 or 1." prompt="0 = no regression function_x000a_1 = regression function" sqref="E24" xr:uid="{6E44691F-BB15-4C23-ACA0-D8FD358B0CB6}">
      <formula1>0</formula1>
      <formula2>1</formula2>
    </dataValidation>
    <dataValidation type="whole" allowBlank="1" showInputMessage="1" showErrorMessage="1" error="Should be 0 or 1." prompt="0 = grid mix_x000a_1 = renewable energy" sqref="E28" xr:uid="{A689C912-A6AC-4472-AD4F-7B0F62EC3D33}">
      <formula1>0</formula1>
      <formula2>1</formula2>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4" tint="0.79998168889431442"/>
  </sheetPr>
  <dimension ref="A1:L68"/>
  <sheetViews>
    <sheetView topLeftCell="A13" zoomScaleNormal="100" workbookViewId="0">
      <pane xSplit="1" topLeftCell="B1" activePane="topRight" state="frozen"/>
      <selection pane="topRight" activeCell="J24" sqref="J24"/>
    </sheetView>
  </sheetViews>
  <sheetFormatPr defaultColWidth="9.109375" defaultRowHeight="11.4" x14ac:dyDescent="0.2"/>
  <cols>
    <col min="1" max="2" width="30.6640625" style="1" customWidth="1"/>
    <col min="3" max="3" width="15.6640625" style="1" customWidth="1"/>
    <col min="4" max="4" width="40.6640625" style="1" customWidth="1"/>
    <col min="5" max="5" width="15.6640625" style="2" customWidth="1"/>
    <col min="6" max="6" width="20.6640625" style="1" customWidth="1"/>
    <col min="7" max="7" width="15.6640625" style="59" customWidth="1"/>
    <col min="8" max="8" width="13.6640625" style="70" customWidth="1"/>
    <col min="9" max="14" width="20.6640625" style="1" customWidth="1"/>
    <col min="15" max="16384" width="9.109375" style="1"/>
  </cols>
  <sheetData>
    <row r="1" spans="1:12" ht="144" customHeight="1" x14ac:dyDescent="0.2"/>
    <row r="4" spans="1:12" ht="19.8" x14ac:dyDescent="0.3">
      <c r="B4" s="3" t="s">
        <v>192</v>
      </c>
    </row>
    <row r="8" spans="1:12" s="101" customFormat="1" x14ac:dyDescent="0.3">
      <c r="A8" s="92"/>
      <c r="B8" s="102"/>
      <c r="C8" s="103"/>
      <c r="D8" s="102" t="s">
        <v>147</v>
      </c>
      <c r="E8" s="97" t="s">
        <v>136</v>
      </c>
      <c r="F8" s="102" t="s">
        <v>193</v>
      </c>
      <c r="G8" s="98" t="s">
        <v>194</v>
      </c>
      <c r="H8" s="99" t="s">
        <v>195</v>
      </c>
      <c r="I8" s="100" t="str">
        <f>'Pathway definition and results'!E13</f>
        <v xml:space="preserve">1. Pathway 1 </v>
      </c>
      <c r="J8" s="97" t="str">
        <f>'Pathway definition and results'!F13</f>
        <v>2. Pathway 2</v>
      </c>
      <c r="K8" s="97" t="str">
        <f>'Pathway definition and results'!G13</f>
        <v>3. Pathway 3</v>
      </c>
      <c r="L8" s="97" t="str">
        <f>'Pathway definition and results'!H13</f>
        <v xml:space="preserve">4. Pathway 4 </v>
      </c>
    </row>
    <row r="9" spans="1:12" s="14" customFormat="1" x14ac:dyDescent="0.2">
      <c r="A9" s="1"/>
      <c r="B9" s="17" t="s">
        <v>196</v>
      </c>
      <c r="E9" s="48"/>
      <c r="G9" s="155"/>
      <c r="H9" s="71"/>
      <c r="I9" s="18"/>
    </row>
    <row r="10" spans="1:12" x14ac:dyDescent="0.2">
      <c r="B10" s="16" t="s">
        <v>197</v>
      </c>
      <c r="C10" s="15" t="s">
        <v>198</v>
      </c>
      <c r="D10" s="1" t="s">
        <v>199</v>
      </c>
      <c r="E10" s="2" t="s">
        <v>138</v>
      </c>
      <c r="I10" s="154"/>
      <c r="J10" s="137"/>
      <c r="K10" s="137"/>
      <c r="L10" s="137"/>
    </row>
    <row r="11" spans="1:12" x14ac:dyDescent="0.2">
      <c r="B11" s="14"/>
      <c r="C11" s="15"/>
      <c r="I11" s="19"/>
    </row>
    <row r="12" spans="1:12" x14ac:dyDescent="0.2">
      <c r="B12" s="14"/>
      <c r="C12" s="15"/>
      <c r="I12" s="19"/>
    </row>
    <row r="13" spans="1:12" x14ac:dyDescent="0.2">
      <c r="B13" s="14"/>
      <c r="C13" s="15"/>
      <c r="I13" s="19"/>
    </row>
    <row r="14" spans="1:12" x14ac:dyDescent="0.2">
      <c r="B14" s="14"/>
      <c r="C14" s="50"/>
      <c r="I14" s="19"/>
    </row>
    <row r="15" spans="1:12" s="14" customFormat="1" x14ac:dyDescent="0.2">
      <c r="A15" s="1"/>
      <c r="B15" s="17" t="s">
        <v>200</v>
      </c>
      <c r="E15" s="48"/>
      <c r="G15" s="155"/>
      <c r="H15" s="71"/>
      <c r="I15" s="18"/>
    </row>
    <row r="16" spans="1:12" ht="13.8" x14ac:dyDescent="0.3">
      <c r="B16" s="16" t="s">
        <v>201</v>
      </c>
      <c r="C16" s="15" t="s">
        <v>198</v>
      </c>
      <c r="D16" s="1" t="s">
        <v>202</v>
      </c>
      <c r="E16" s="2" t="s">
        <v>203</v>
      </c>
      <c r="F16" s="1">
        <v>1.5</v>
      </c>
      <c r="H16" s="70">
        <v>2</v>
      </c>
      <c r="I16" s="156">
        <v>1.5</v>
      </c>
    </row>
    <row r="17" spans="2:9" x14ac:dyDescent="0.2">
      <c r="B17" s="14"/>
      <c r="C17" s="15" t="s">
        <v>204</v>
      </c>
      <c r="D17" s="1" t="s">
        <v>205</v>
      </c>
      <c r="E17" s="2" t="s">
        <v>206</v>
      </c>
      <c r="F17" s="158">
        <v>0.1</v>
      </c>
      <c r="H17" s="70">
        <v>5</v>
      </c>
      <c r="I17" s="156">
        <v>0.1</v>
      </c>
    </row>
    <row r="18" spans="2:9" ht="13.8" x14ac:dyDescent="0.3">
      <c r="B18" s="14"/>
      <c r="C18" s="15"/>
      <c r="D18" s="1" t="s">
        <v>207</v>
      </c>
      <c r="E18" s="2" t="s">
        <v>208</v>
      </c>
      <c r="F18" s="1">
        <v>0.5</v>
      </c>
      <c r="H18" s="70">
        <v>5</v>
      </c>
      <c r="I18" s="156">
        <v>0.5</v>
      </c>
    </row>
    <row r="19" spans="2:9" ht="13.8" x14ac:dyDescent="0.3">
      <c r="B19" s="14"/>
      <c r="C19" s="15"/>
      <c r="D19" s="1" t="s">
        <v>209</v>
      </c>
      <c r="E19" s="2" t="s">
        <v>210</v>
      </c>
      <c r="I19" s="19"/>
    </row>
    <row r="20" spans="2:9" ht="13.8" x14ac:dyDescent="0.3">
      <c r="B20" s="14"/>
      <c r="C20" s="15" t="s">
        <v>211</v>
      </c>
      <c r="D20" s="1" t="s">
        <v>212</v>
      </c>
      <c r="E20" s="2" t="s">
        <v>213</v>
      </c>
      <c r="F20" s="1">
        <v>4.9000000000000004</v>
      </c>
      <c r="H20" s="70">
        <v>2</v>
      </c>
      <c r="I20" s="156">
        <v>4.9000000000000004</v>
      </c>
    </row>
    <row r="21" spans="2:9" x14ac:dyDescent="0.2">
      <c r="B21" s="14"/>
      <c r="C21" s="15"/>
      <c r="D21" s="1" t="s">
        <v>214</v>
      </c>
      <c r="E21" s="2" t="s">
        <v>170</v>
      </c>
      <c r="H21" s="70">
        <v>2</v>
      </c>
      <c r="I21" s="19"/>
    </row>
    <row r="22" spans="2:9" x14ac:dyDescent="0.2">
      <c r="B22" s="14"/>
      <c r="C22" s="15" t="s">
        <v>215</v>
      </c>
      <c r="D22" s="1" t="s">
        <v>216</v>
      </c>
      <c r="E22" s="2" t="s">
        <v>217</v>
      </c>
      <c r="F22" s="1">
        <v>50</v>
      </c>
      <c r="H22" s="70">
        <v>2</v>
      </c>
      <c r="I22" s="19">
        <v>60</v>
      </c>
    </row>
    <row r="23" spans="2:9" x14ac:dyDescent="0.2">
      <c r="B23" s="14"/>
      <c r="C23" s="15"/>
      <c r="D23" s="1" t="s">
        <v>218</v>
      </c>
      <c r="E23" s="2" t="s">
        <v>219</v>
      </c>
      <c r="F23" s="1">
        <v>30</v>
      </c>
      <c r="H23" s="70">
        <v>2</v>
      </c>
      <c r="I23" s="480">
        <v>30</v>
      </c>
    </row>
    <row r="24" spans="2:9" x14ac:dyDescent="0.2">
      <c r="B24" s="14"/>
      <c r="C24" s="15"/>
      <c r="D24" s="1" t="s">
        <v>220</v>
      </c>
      <c r="E24" s="2" t="s">
        <v>221</v>
      </c>
      <c r="F24" s="130">
        <v>8000</v>
      </c>
      <c r="G24" s="59" t="s">
        <v>222</v>
      </c>
      <c r="H24" s="70">
        <v>5</v>
      </c>
      <c r="I24" s="161">
        <f>'1. Pathway 1'!C262</f>
        <v>8000</v>
      </c>
    </row>
    <row r="25" spans="2:9" x14ac:dyDescent="0.2">
      <c r="B25" s="14"/>
      <c r="C25" s="15" t="s">
        <v>223</v>
      </c>
      <c r="D25" s="1" t="s">
        <v>224</v>
      </c>
      <c r="E25" s="2" t="s">
        <v>225</v>
      </c>
      <c r="F25" s="130">
        <v>1500</v>
      </c>
      <c r="H25" s="70">
        <v>2</v>
      </c>
      <c r="I25" s="157">
        <v>1500</v>
      </c>
    </row>
    <row r="26" spans="2:9" x14ac:dyDescent="0.2">
      <c r="B26" s="14"/>
      <c r="D26" s="1" t="s">
        <v>226</v>
      </c>
      <c r="E26" s="2" t="s">
        <v>227</v>
      </c>
      <c r="I26" s="19"/>
    </row>
    <row r="27" spans="2:9" x14ac:dyDescent="0.2">
      <c r="B27" s="14"/>
      <c r="C27" s="50" t="s">
        <v>228</v>
      </c>
      <c r="D27" s="1" t="s">
        <v>229</v>
      </c>
      <c r="E27" s="2" t="s">
        <v>67</v>
      </c>
      <c r="F27" s="1" t="s">
        <v>230</v>
      </c>
      <c r="H27" s="70">
        <v>2</v>
      </c>
      <c r="I27" s="19"/>
    </row>
    <row r="28" spans="2:9" x14ac:dyDescent="0.2">
      <c r="B28" s="14"/>
      <c r="C28" s="50" t="s">
        <v>231</v>
      </c>
      <c r="I28" s="19"/>
    </row>
    <row r="29" spans="2:9" x14ac:dyDescent="0.2">
      <c r="B29" s="14"/>
      <c r="C29" s="50" t="s">
        <v>232</v>
      </c>
      <c r="I29" s="19"/>
    </row>
    <row r="30" spans="2:9" x14ac:dyDescent="0.2">
      <c r="B30" s="14"/>
      <c r="C30" s="50"/>
      <c r="I30" s="19"/>
    </row>
    <row r="31" spans="2:9" ht="13.8" x14ac:dyDescent="0.3">
      <c r="B31" s="16" t="s">
        <v>233</v>
      </c>
      <c r="C31" s="15" t="s">
        <v>198</v>
      </c>
      <c r="D31" s="1" t="s">
        <v>202</v>
      </c>
      <c r="E31" s="2" t="s">
        <v>203</v>
      </c>
      <c r="F31" s="1">
        <v>1.5</v>
      </c>
      <c r="H31" s="70">
        <v>2</v>
      </c>
      <c r="I31" s="156">
        <v>1.5</v>
      </c>
    </row>
    <row r="32" spans="2:9" x14ac:dyDescent="0.2">
      <c r="B32" s="16"/>
      <c r="C32" s="15"/>
      <c r="D32" s="1" t="s">
        <v>234</v>
      </c>
      <c r="E32" s="2" t="s">
        <v>170</v>
      </c>
      <c r="F32" s="134" t="s">
        <v>235</v>
      </c>
      <c r="H32" s="70">
        <v>5</v>
      </c>
      <c r="I32" s="19"/>
    </row>
    <row r="33" spans="1:9" x14ac:dyDescent="0.2">
      <c r="B33" s="14"/>
      <c r="C33" s="15" t="s">
        <v>204</v>
      </c>
      <c r="D33" s="1" t="s">
        <v>205</v>
      </c>
      <c r="E33" s="2" t="s">
        <v>206</v>
      </c>
      <c r="F33" s="158">
        <v>0.1</v>
      </c>
      <c r="H33" s="70">
        <v>5</v>
      </c>
      <c r="I33" s="156">
        <v>0.1</v>
      </c>
    </row>
    <row r="34" spans="1:9" ht="13.8" x14ac:dyDescent="0.3">
      <c r="B34" s="14"/>
      <c r="C34" s="15"/>
      <c r="D34" s="1" t="s">
        <v>207</v>
      </c>
      <c r="E34" s="2" t="s">
        <v>208</v>
      </c>
      <c r="F34" s="1">
        <v>0.5</v>
      </c>
      <c r="H34" s="70">
        <v>5</v>
      </c>
      <c r="I34" s="156">
        <v>0.5</v>
      </c>
    </row>
    <row r="35" spans="1:9" ht="13.8" x14ac:dyDescent="0.3">
      <c r="B35" s="14"/>
      <c r="C35" s="15"/>
      <c r="D35" s="1" t="s">
        <v>209</v>
      </c>
      <c r="E35" s="2" t="s">
        <v>210</v>
      </c>
      <c r="F35" s="134" t="s">
        <v>236</v>
      </c>
      <c r="H35" s="70">
        <v>2</v>
      </c>
      <c r="I35" s="19"/>
    </row>
    <row r="36" spans="1:9" ht="13.8" x14ac:dyDescent="0.3">
      <c r="B36" s="14"/>
      <c r="C36" s="15" t="s">
        <v>211</v>
      </c>
      <c r="D36" s="1" t="s">
        <v>212</v>
      </c>
      <c r="E36" s="2" t="s">
        <v>213</v>
      </c>
      <c r="F36" s="1">
        <v>5.2</v>
      </c>
      <c r="H36" s="70">
        <v>2</v>
      </c>
      <c r="I36" s="156">
        <v>5.2</v>
      </c>
    </row>
    <row r="37" spans="1:9" x14ac:dyDescent="0.2">
      <c r="B37" s="14"/>
      <c r="C37" s="15"/>
      <c r="D37" s="1" t="s">
        <v>214</v>
      </c>
      <c r="E37" s="2" t="s">
        <v>170</v>
      </c>
      <c r="H37" s="70">
        <v>2</v>
      </c>
      <c r="I37" s="19"/>
    </row>
    <row r="38" spans="1:9" x14ac:dyDescent="0.2">
      <c r="B38" s="14"/>
      <c r="C38" s="15" t="s">
        <v>215</v>
      </c>
      <c r="D38" s="1" t="s">
        <v>237</v>
      </c>
      <c r="E38" s="2" t="s">
        <v>217</v>
      </c>
      <c r="F38" s="1">
        <v>50</v>
      </c>
      <c r="H38" s="70">
        <v>2</v>
      </c>
      <c r="I38" s="19">
        <v>50</v>
      </c>
    </row>
    <row r="39" spans="1:9" x14ac:dyDescent="0.2">
      <c r="B39" s="14"/>
      <c r="C39" s="15"/>
      <c r="D39" s="1" t="s">
        <v>218</v>
      </c>
      <c r="E39" s="2" t="s">
        <v>219</v>
      </c>
      <c r="F39" s="1">
        <v>30</v>
      </c>
      <c r="H39" s="70">
        <v>2</v>
      </c>
      <c r="I39" s="480">
        <v>30</v>
      </c>
    </row>
    <row r="40" spans="1:9" x14ac:dyDescent="0.2">
      <c r="B40" s="14"/>
      <c r="C40" s="15"/>
      <c r="D40" s="1" t="s">
        <v>220</v>
      </c>
      <c r="E40" s="2" t="s">
        <v>221</v>
      </c>
      <c r="F40" s="130">
        <v>8000</v>
      </c>
      <c r="G40" s="59" t="s">
        <v>222</v>
      </c>
      <c r="H40" s="70">
        <v>5</v>
      </c>
      <c r="I40" s="161">
        <f>I24</f>
        <v>8000</v>
      </c>
    </row>
    <row r="41" spans="1:9" x14ac:dyDescent="0.2">
      <c r="B41" s="14"/>
      <c r="C41" s="15" t="s">
        <v>223</v>
      </c>
      <c r="D41" s="1" t="s">
        <v>224</v>
      </c>
      <c r="E41" s="2" t="s">
        <v>225</v>
      </c>
      <c r="F41" s="1">
        <v>500</v>
      </c>
      <c r="H41" s="70">
        <v>2</v>
      </c>
      <c r="I41" s="156">
        <v>500</v>
      </c>
    </row>
    <row r="42" spans="1:9" x14ac:dyDescent="0.2">
      <c r="B42" s="14"/>
      <c r="C42" s="50" t="s">
        <v>228</v>
      </c>
      <c r="D42" s="1" t="s">
        <v>229</v>
      </c>
      <c r="E42" s="2" t="s">
        <v>67</v>
      </c>
      <c r="F42" s="1" t="s">
        <v>230</v>
      </c>
      <c r="H42" s="70">
        <v>2</v>
      </c>
      <c r="I42" s="19"/>
    </row>
    <row r="43" spans="1:9" x14ac:dyDescent="0.2">
      <c r="B43" s="14"/>
      <c r="C43" s="50" t="s">
        <v>231</v>
      </c>
      <c r="I43" s="19"/>
    </row>
    <row r="44" spans="1:9" x14ac:dyDescent="0.2">
      <c r="B44" s="14"/>
      <c r="C44" s="50" t="s">
        <v>232</v>
      </c>
      <c r="I44" s="19"/>
    </row>
    <row r="45" spans="1:9" x14ac:dyDescent="0.2">
      <c r="B45" s="14"/>
      <c r="I45" s="19"/>
    </row>
    <row r="46" spans="1:9" x14ac:dyDescent="0.2">
      <c r="B46" s="14"/>
      <c r="I46" s="19"/>
    </row>
    <row r="47" spans="1:9" s="14" customFormat="1" x14ac:dyDescent="0.2">
      <c r="A47" s="1"/>
      <c r="B47" s="17" t="s">
        <v>238</v>
      </c>
      <c r="E47" s="48"/>
      <c r="G47" s="155"/>
      <c r="H47" s="71"/>
      <c r="I47" s="18"/>
    </row>
    <row r="48" spans="1:9" ht="13.8" x14ac:dyDescent="0.3">
      <c r="B48" s="16" t="s">
        <v>239</v>
      </c>
      <c r="C48" s="15" t="s">
        <v>198</v>
      </c>
      <c r="I48" s="19"/>
    </row>
    <row r="49" spans="2:9" x14ac:dyDescent="0.2">
      <c r="B49" s="14"/>
      <c r="C49" s="15" t="s">
        <v>204</v>
      </c>
      <c r="I49" s="19"/>
    </row>
    <row r="50" spans="2:9" ht="13.8" x14ac:dyDescent="0.3">
      <c r="B50" s="14"/>
      <c r="C50" s="15" t="s">
        <v>211</v>
      </c>
      <c r="D50" s="1" t="s">
        <v>212</v>
      </c>
      <c r="E50" s="2" t="s">
        <v>240</v>
      </c>
      <c r="F50" s="1">
        <v>4</v>
      </c>
      <c r="I50" s="156">
        <v>4</v>
      </c>
    </row>
    <row r="51" spans="2:9" x14ac:dyDescent="0.2">
      <c r="B51" s="14"/>
      <c r="C51" s="15" t="s">
        <v>215</v>
      </c>
      <c r="D51" s="1" t="s">
        <v>241</v>
      </c>
      <c r="E51" s="2" t="s">
        <v>219</v>
      </c>
      <c r="F51" s="1">
        <v>200</v>
      </c>
      <c r="H51" s="70">
        <v>5</v>
      </c>
      <c r="I51" s="480">
        <v>200</v>
      </c>
    </row>
    <row r="52" spans="2:9" x14ac:dyDescent="0.2">
      <c r="B52" s="14"/>
      <c r="C52" s="15"/>
      <c r="D52" s="1" t="s">
        <v>220</v>
      </c>
      <c r="E52" s="2" t="s">
        <v>221</v>
      </c>
      <c r="F52" s="130">
        <v>8000</v>
      </c>
      <c r="G52" s="59" t="s">
        <v>222</v>
      </c>
      <c r="H52" s="70">
        <v>5</v>
      </c>
      <c r="I52" s="161">
        <f>I24</f>
        <v>8000</v>
      </c>
    </row>
    <row r="53" spans="2:9" x14ac:dyDescent="0.2">
      <c r="B53" s="14"/>
      <c r="C53" s="15" t="s">
        <v>223</v>
      </c>
      <c r="I53" s="19"/>
    </row>
    <row r="54" spans="2:9" x14ac:dyDescent="0.2">
      <c r="B54" s="14"/>
      <c r="C54" s="15" t="s">
        <v>242</v>
      </c>
      <c r="I54" s="19"/>
    </row>
    <row r="55" spans="2:9" x14ac:dyDescent="0.2">
      <c r="B55" s="14"/>
      <c r="C55" s="15" t="s">
        <v>231</v>
      </c>
      <c r="I55" s="19"/>
    </row>
    <row r="56" spans="2:9" x14ac:dyDescent="0.2">
      <c r="B56" s="14"/>
      <c r="C56" s="50" t="s">
        <v>232</v>
      </c>
      <c r="I56" s="19"/>
    </row>
    <row r="57" spans="2:9" x14ac:dyDescent="0.2">
      <c r="B57" s="14"/>
      <c r="C57" s="50"/>
      <c r="I57" s="19"/>
    </row>
    <row r="58" spans="2:9" x14ac:dyDescent="0.2">
      <c r="B58" s="14"/>
      <c r="C58" s="50"/>
      <c r="I58" s="19"/>
    </row>
    <row r="59" spans="2:9" ht="13.8" x14ac:dyDescent="0.3">
      <c r="B59" s="16" t="s">
        <v>243</v>
      </c>
      <c r="C59" s="15" t="s">
        <v>198</v>
      </c>
      <c r="D59" s="1" t="s">
        <v>244</v>
      </c>
      <c r="E59" s="2" t="s">
        <v>245</v>
      </c>
      <c r="F59" s="1">
        <v>24</v>
      </c>
      <c r="H59" s="70">
        <v>5</v>
      </c>
      <c r="I59" s="156">
        <v>24</v>
      </c>
    </row>
    <row r="60" spans="2:9" x14ac:dyDescent="0.2">
      <c r="B60" s="14"/>
      <c r="C60" s="15" t="s">
        <v>204</v>
      </c>
      <c r="I60" s="19"/>
    </row>
    <row r="61" spans="2:9" x14ac:dyDescent="0.2">
      <c r="B61" s="14"/>
      <c r="C61" s="15" t="s">
        <v>211</v>
      </c>
      <c r="I61" s="19"/>
    </row>
    <row r="62" spans="2:9" x14ac:dyDescent="0.2">
      <c r="B62" s="14"/>
      <c r="C62" s="15" t="s">
        <v>215</v>
      </c>
      <c r="D62" s="1" t="s">
        <v>246</v>
      </c>
      <c r="E62" s="2" t="s">
        <v>247</v>
      </c>
      <c r="F62" s="1">
        <v>200</v>
      </c>
      <c r="H62" s="70">
        <v>5</v>
      </c>
      <c r="I62" s="20">
        <f>I51</f>
        <v>200</v>
      </c>
    </row>
    <row r="63" spans="2:9" x14ac:dyDescent="0.2">
      <c r="B63" s="14"/>
      <c r="C63" s="15" t="s">
        <v>223</v>
      </c>
      <c r="D63" s="1" t="s">
        <v>248</v>
      </c>
      <c r="E63" s="2" t="s">
        <v>249</v>
      </c>
      <c r="F63" s="1">
        <v>300</v>
      </c>
      <c r="H63" s="70">
        <v>2</v>
      </c>
      <c r="I63" s="156">
        <v>300</v>
      </c>
    </row>
    <row r="64" spans="2:9" x14ac:dyDescent="0.2">
      <c r="B64" s="14"/>
      <c r="C64" s="15" t="s">
        <v>242</v>
      </c>
      <c r="I64" s="19"/>
    </row>
    <row r="65" spans="2:9" x14ac:dyDescent="0.2">
      <c r="B65" s="14"/>
      <c r="C65" s="15" t="s">
        <v>231</v>
      </c>
      <c r="I65" s="19"/>
    </row>
    <row r="66" spans="2:9" x14ac:dyDescent="0.2">
      <c r="B66" s="14"/>
      <c r="C66" s="50" t="s">
        <v>232</v>
      </c>
      <c r="I66" s="19"/>
    </row>
    <row r="67" spans="2:9" x14ac:dyDescent="0.2">
      <c r="B67" s="14"/>
      <c r="I67" s="19"/>
    </row>
    <row r="68" spans="2:9" x14ac:dyDescent="0.2">
      <c r="B68" s="14"/>
      <c r="I68" s="19"/>
    </row>
  </sheetData>
  <dataValidations count="2">
    <dataValidation type="whole" allowBlank="1" showInputMessage="1" showErrorMessage="1" error="Should be value between 1 and 5. " prompt="1 = Primary data from experiments_x000a_2 = Secondary data from literature for similar technology, time &amp; region_x000a_3 = Secondary data from literature for different technology, time &amp; region _x000a_4 = Expert estimate _x000a_5 = Own assumption_x000a_6 = Default value from template" sqref="H15 H47" xr:uid="{00000000-0002-0000-0600-000000000000}">
      <formula1>1</formula1>
      <formula2>6</formula2>
    </dataValidation>
    <dataValidation type="whole" allowBlank="1" showInputMessage="1" showErrorMessage="1" error="Should be value between 1 and 6. " prompt="1 = Primary data from experiments_x000a_2 = Secondary data for similar technology, time &amp; region_x000a_3 = Secondary data for different technology, time &amp; region _x000a_4 = Expert estimate _x000a_5 = Own assumption_x000a_6 = Default value from template" sqref="H16:H46 H10:H14 H48:H68" xr:uid="{00000000-0002-0000-0600-000001000000}">
      <formula1>1</formula1>
      <formula2>6</formula2>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9345-2E42-46FC-A4D9-86967B6E6879}">
  <dimension ref="A1:C31"/>
  <sheetViews>
    <sheetView workbookViewId="0"/>
  </sheetViews>
  <sheetFormatPr defaultRowHeight="14.4" x14ac:dyDescent="0.3"/>
  <cols>
    <col min="1" max="3" width="36.6640625" customWidth="1"/>
  </cols>
  <sheetData>
    <row r="1" spans="1:3" x14ac:dyDescent="0.3">
      <c r="A1" s="90" t="s">
        <v>678</v>
      </c>
    </row>
    <row r="3" spans="1:3" x14ac:dyDescent="0.3">
      <c r="A3" t="s">
        <v>679</v>
      </c>
      <c r="B3" t="s">
        <v>680</v>
      </c>
      <c r="C3">
        <v>0</v>
      </c>
    </row>
    <row r="4" spans="1:3" x14ac:dyDescent="0.3">
      <c r="A4" t="s">
        <v>681</v>
      </c>
    </row>
    <row r="5" spans="1:3" x14ac:dyDescent="0.3">
      <c r="A5" t="s">
        <v>682</v>
      </c>
    </row>
    <row r="7" spans="1:3" x14ac:dyDescent="0.3">
      <c r="A7" s="90" t="s">
        <v>683</v>
      </c>
      <c r="B7" t="s">
        <v>684</v>
      </c>
    </row>
    <row r="8" spans="1:3" x14ac:dyDescent="0.3">
      <c r="B8">
        <v>3</v>
      </c>
    </row>
    <row r="10" spans="1:3" x14ac:dyDescent="0.3">
      <c r="A10" t="s">
        <v>685</v>
      </c>
    </row>
    <row r="11" spans="1:3" x14ac:dyDescent="0.3">
      <c r="A11" t="e">
        <f>CB_DATA_!#REF!</f>
        <v>#REF!</v>
      </c>
      <c r="B11" t="e">
        <f>'Data - technical'!#REF!</f>
        <v>#REF!</v>
      </c>
      <c r="C11" t="e">
        <f>'1. Pathway 1'!#REF!</f>
        <v>#REF!</v>
      </c>
    </row>
    <row r="13" spans="1:3" x14ac:dyDescent="0.3">
      <c r="A13" t="s">
        <v>686</v>
      </c>
    </row>
    <row r="14" spans="1:3" x14ac:dyDescent="0.3">
      <c r="A14" t="s">
        <v>690</v>
      </c>
      <c r="B14" t="s">
        <v>694</v>
      </c>
      <c r="C14" t="s">
        <v>697</v>
      </c>
    </row>
    <row r="16" spans="1:3" x14ac:dyDescent="0.3">
      <c r="A16" t="s">
        <v>687</v>
      </c>
    </row>
    <row r="19" spans="1:3" x14ac:dyDescent="0.3">
      <c r="A19" t="s">
        <v>688</v>
      </c>
    </row>
    <row r="20" spans="1:3" x14ac:dyDescent="0.3">
      <c r="A20">
        <v>31</v>
      </c>
      <c r="B20">
        <v>31</v>
      </c>
      <c r="C20">
        <v>31</v>
      </c>
    </row>
    <row r="25" spans="1:3" x14ac:dyDescent="0.3">
      <c r="A25" s="90" t="s">
        <v>689</v>
      </c>
    </row>
    <row r="26" spans="1:3" x14ac:dyDescent="0.3">
      <c r="A26" s="496" t="s">
        <v>691</v>
      </c>
      <c r="B26" s="496" t="s">
        <v>695</v>
      </c>
      <c r="C26" s="496" t="s">
        <v>695</v>
      </c>
    </row>
    <row r="27" spans="1:3" x14ac:dyDescent="0.3">
      <c r="A27" t="s">
        <v>692</v>
      </c>
      <c r="B27" t="s">
        <v>696</v>
      </c>
      <c r="C27" t="s">
        <v>700</v>
      </c>
    </row>
    <row r="28" spans="1:3" x14ac:dyDescent="0.3">
      <c r="A28" s="496" t="s">
        <v>693</v>
      </c>
      <c r="B28" s="496" t="s">
        <v>693</v>
      </c>
      <c r="C28" s="496" t="s">
        <v>693</v>
      </c>
    </row>
    <row r="29" spans="1:3" x14ac:dyDescent="0.3">
      <c r="A29" s="496" t="s">
        <v>695</v>
      </c>
      <c r="B29" s="496" t="s">
        <v>691</v>
      </c>
      <c r="C29" s="496" t="s">
        <v>691</v>
      </c>
    </row>
    <row r="30" spans="1:3" x14ac:dyDescent="0.3">
      <c r="A30" t="s">
        <v>701</v>
      </c>
      <c r="B30" t="s">
        <v>698</v>
      </c>
      <c r="C30" t="s">
        <v>699</v>
      </c>
    </row>
    <row r="31" spans="1:3" x14ac:dyDescent="0.3">
      <c r="A31" s="496" t="s">
        <v>693</v>
      </c>
      <c r="B31" s="496" t="s">
        <v>693</v>
      </c>
      <c r="C31" s="496" t="s">
        <v>693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79998168889431442"/>
  </sheetPr>
  <dimension ref="A1:L114"/>
  <sheetViews>
    <sheetView zoomScale="85" zoomScaleNormal="85" workbookViewId="0">
      <pane xSplit="1" topLeftCell="B1" activePane="topRight" state="frozen"/>
      <selection pane="topRight" activeCell="B15" sqref="B15"/>
    </sheetView>
  </sheetViews>
  <sheetFormatPr defaultColWidth="9.109375" defaultRowHeight="11.4" x14ac:dyDescent="0.2"/>
  <cols>
    <col min="1" max="2" width="30.6640625" style="1" customWidth="1"/>
    <col min="3" max="3" width="15.6640625" style="1" customWidth="1"/>
    <col min="4" max="4" width="44.6640625" style="1" customWidth="1"/>
    <col min="5" max="5" width="19.88671875" style="2" customWidth="1"/>
    <col min="6" max="6" width="20.6640625" style="1" customWidth="1"/>
    <col min="7" max="7" width="15.6640625" style="59" customWidth="1"/>
    <col min="8" max="8" width="13.6640625" style="59" customWidth="1"/>
    <col min="9" max="14" width="20.6640625" style="1" customWidth="1"/>
    <col min="15" max="16384" width="9.109375" style="1"/>
  </cols>
  <sheetData>
    <row r="1" spans="1:12" ht="144" customHeight="1" x14ac:dyDescent="0.2"/>
    <row r="4" spans="1:12" ht="19.8" x14ac:dyDescent="0.3">
      <c r="B4" s="3" t="s">
        <v>250</v>
      </c>
    </row>
    <row r="8" spans="1:12" s="108" customFormat="1" x14ac:dyDescent="0.3">
      <c r="A8" s="92"/>
      <c r="B8" s="104"/>
      <c r="C8" s="105"/>
      <c r="D8" s="109" t="s">
        <v>147</v>
      </c>
      <c r="E8" s="104" t="s">
        <v>136</v>
      </c>
      <c r="F8" s="104" t="s">
        <v>193</v>
      </c>
      <c r="G8" s="106" t="s">
        <v>194</v>
      </c>
      <c r="H8" s="106" t="s">
        <v>195</v>
      </c>
      <c r="I8" s="107" t="str">
        <f>'Pathway definition and results'!E13</f>
        <v xml:space="preserve">1. Pathway 1 </v>
      </c>
      <c r="J8" s="104" t="str">
        <f>'Pathway definition and results'!F13</f>
        <v>2. Pathway 2</v>
      </c>
      <c r="K8" s="104" t="str">
        <f>'Pathway definition and results'!G13</f>
        <v>3. Pathway 3</v>
      </c>
      <c r="L8" s="104" t="str">
        <f>'Pathway definition and results'!H13</f>
        <v xml:space="preserve">4. Pathway 4 </v>
      </c>
    </row>
    <row r="9" spans="1:12" s="9" customFormat="1" x14ac:dyDescent="0.2">
      <c r="A9" s="1"/>
      <c r="B9" s="8" t="s">
        <v>251</v>
      </c>
      <c r="C9" s="22"/>
      <c r="E9" s="47"/>
      <c r="G9" s="60"/>
      <c r="H9" s="60"/>
      <c r="I9" s="20"/>
    </row>
    <row r="10" spans="1:12" x14ac:dyDescent="0.2">
      <c r="B10" s="9"/>
      <c r="C10" s="15"/>
      <c r="D10" s="23" t="s">
        <v>252</v>
      </c>
      <c r="E10" s="2" t="s">
        <v>170</v>
      </c>
      <c r="F10" s="149">
        <v>0.25</v>
      </c>
      <c r="G10" s="59" t="s">
        <v>253</v>
      </c>
      <c r="H10" s="127">
        <v>6</v>
      </c>
      <c r="I10" s="170"/>
      <c r="J10" s="171"/>
      <c r="K10" s="171"/>
      <c r="L10" s="171"/>
    </row>
    <row r="11" spans="1:12" x14ac:dyDescent="0.2">
      <c r="B11" s="9"/>
      <c r="C11" s="15"/>
      <c r="D11" s="23" t="s">
        <v>254</v>
      </c>
      <c r="E11" s="2" t="s">
        <v>170</v>
      </c>
      <c r="F11" s="150">
        <f>(F10-F15)/(1+F15)</f>
        <v>0.22549019607843138</v>
      </c>
      <c r="H11" s="127"/>
      <c r="I11" s="170"/>
      <c r="J11" s="171"/>
      <c r="K11" s="171"/>
      <c r="L11" s="171"/>
    </row>
    <row r="12" spans="1:12" x14ac:dyDescent="0.2">
      <c r="B12" s="9"/>
      <c r="C12" s="15"/>
      <c r="D12" s="23" t="s">
        <v>255</v>
      </c>
      <c r="E12" s="2" t="s">
        <v>170</v>
      </c>
      <c r="F12" s="149">
        <v>0.2</v>
      </c>
      <c r="H12" s="127">
        <v>6</v>
      </c>
      <c r="I12" s="170"/>
      <c r="J12" s="171"/>
      <c r="K12" s="171"/>
      <c r="L12" s="171"/>
    </row>
    <row r="13" spans="1:12" x14ac:dyDescent="0.2">
      <c r="B13" s="9"/>
      <c r="C13" s="15"/>
      <c r="D13" s="23" t="s">
        <v>256</v>
      </c>
      <c r="E13" s="2" t="s">
        <v>170</v>
      </c>
      <c r="F13" s="152">
        <f>1-F12</f>
        <v>0.8</v>
      </c>
      <c r="H13" s="127"/>
      <c r="I13" s="170"/>
      <c r="J13" s="171"/>
      <c r="K13" s="171"/>
      <c r="L13" s="171"/>
    </row>
    <row r="14" spans="1:12" x14ac:dyDescent="0.2">
      <c r="B14" s="9"/>
      <c r="C14" s="15"/>
      <c r="D14" s="23" t="s">
        <v>257</v>
      </c>
      <c r="E14" s="2" t="s">
        <v>170</v>
      </c>
      <c r="F14" s="149">
        <v>0.05</v>
      </c>
      <c r="H14" s="127">
        <v>6</v>
      </c>
      <c r="I14" s="170"/>
      <c r="J14" s="171"/>
      <c r="K14" s="171"/>
      <c r="L14" s="171"/>
    </row>
    <row r="15" spans="1:12" x14ac:dyDescent="0.2">
      <c r="B15" s="9"/>
      <c r="C15" s="15"/>
      <c r="D15" s="23" t="s">
        <v>258</v>
      </c>
      <c r="E15" s="2" t="s">
        <v>170</v>
      </c>
      <c r="F15" s="149">
        <v>0.02</v>
      </c>
      <c r="H15" s="127">
        <v>6</v>
      </c>
      <c r="I15" s="170"/>
      <c r="J15" s="171"/>
      <c r="K15" s="171"/>
      <c r="L15" s="171"/>
    </row>
    <row r="16" spans="1:12" x14ac:dyDescent="0.2">
      <c r="B16" s="9"/>
      <c r="C16" s="15"/>
      <c r="D16" s="23" t="s">
        <v>259</v>
      </c>
      <c r="E16" s="2" t="s">
        <v>170</v>
      </c>
      <c r="F16" s="150">
        <f>(F11*F12)+(F13*(1-F17)*F14)</f>
        <v>7.509803921568628E-2</v>
      </c>
      <c r="H16" s="127"/>
      <c r="I16" s="170"/>
      <c r="J16" s="171"/>
      <c r="K16" s="171"/>
      <c r="L16" s="171"/>
    </row>
    <row r="17" spans="1:12" x14ac:dyDescent="0.2">
      <c r="B17" s="9"/>
      <c r="C17" s="15"/>
      <c r="D17" s="23" t="s">
        <v>260</v>
      </c>
      <c r="E17" s="2" t="s">
        <v>170</v>
      </c>
      <c r="F17" s="149">
        <v>0.25</v>
      </c>
      <c r="H17" s="127">
        <v>6</v>
      </c>
      <c r="I17" s="170"/>
      <c r="J17" s="171"/>
      <c r="K17" s="171"/>
      <c r="L17" s="171"/>
    </row>
    <row r="18" spans="1:12" x14ac:dyDescent="0.2">
      <c r="B18" s="9"/>
      <c r="C18" s="15"/>
      <c r="D18" s="23" t="s">
        <v>261</v>
      </c>
      <c r="E18" s="2" t="s">
        <v>172</v>
      </c>
      <c r="F18" s="147">
        <v>15</v>
      </c>
      <c r="G18" s="59" t="s">
        <v>262</v>
      </c>
      <c r="H18" s="127">
        <v>6</v>
      </c>
      <c r="I18" s="172"/>
      <c r="J18" s="173"/>
      <c r="K18" s="173"/>
      <c r="L18" s="173"/>
    </row>
    <row r="19" spans="1:12" s="9" customFormat="1" x14ac:dyDescent="0.2">
      <c r="A19" s="1"/>
      <c r="B19" s="8" t="s">
        <v>263</v>
      </c>
      <c r="C19" s="22"/>
      <c r="E19" s="47"/>
      <c r="G19" s="60"/>
      <c r="H19" s="60"/>
      <c r="I19" s="20"/>
    </row>
    <row r="20" spans="1:12" x14ac:dyDescent="0.2">
      <c r="B20" s="9"/>
      <c r="C20" s="15" t="s">
        <v>264</v>
      </c>
      <c r="D20" s="23" t="s">
        <v>265</v>
      </c>
      <c r="E20" s="2" t="s">
        <v>67</v>
      </c>
      <c r="F20" s="1">
        <v>4</v>
      </c>
      <c r="G20" s="59" t="s">
        <v>67</v>
      </c>
      <c r="H20" s="127">
        <v>6</v>
      </c>
      <c r="I20" s="124"/>
    </row>
    <row r="21" spans="1:12" x14ac:dyDescent="0.2">
      <c r="B21" s="9"/>
      <c r="C21" s="15"/>
      <c r="D21" s="23" t="s">
        <v>266</v>
      </c>
      <c r="E21" s="2" t="s">
        <v>67</v>
      </c>
      <c r="F21" s="1">
        <v>4.3</v>
      </c>
      <c r="G21" s="59" t="s">
        <v>67</v>
      </c>
      <c r="H21" s="127">
        <v>6</v>
      </c>
      <c r="I21" s="124"/>
    </row>
    <row r="22" spans="1:12" x14ac:dyDescent="0.2">
      <c r="B22" s="9"/>
      <c r="C22" s="15"/>
      <c r="D22" s="23" t="s">
        <v>267</v>
      </c>
      <c r="E22" s="2" t="s">
        <v>67</v>
      </c>
      <c r="F22" s="1">
        <v>5</v>
      </c>
      <c r="G22" s="59" t="s">
        <v>67</v>
      </c>
      <c r="H22" s="127">
        <v>6</v>
      </c>
      <c r="I22" s="124"/>
    </row>
    <row r="23" spans="1:12" x14ac:dyDescent="0.2">
      <c r="B23" s="9"/>
      <c r="C23" s="15"/>
      <c r="D23" s="23"/>
      <c r="H23" s="127"/>
      <c r="I23" s="124"/>
    </row>
    <row r="24" spans="1:12" x14ac:dyDescent="0.2">
      <c r="B24" s="9"/>
      <c r="C24" s="15" t="s">
        <v>268</v>
      </c>
      <c r="D24" s="126" t="s">
        <v>269</v>
      </c>
      <c r="E24" s="125" t="s">
        <v>270</v>
      </c>
      <c r="F24" s="58">
        <v>0.39</v>
      </c>
      <c r="G24" s="59" t="s">
        <v>271</v>
      </c>
      <c r="H24" s="127">
        <v>6</v>
      </c>
      <c r="I24" s="124"/>
    </row>
    <row r="25" spans="1:12" x14ac:dyDescent="0.2">
      <c r="B25" s="9"/>
      <c r="C25" s="15"/>
      <c r="D25" s="126" t="s">
        <v>272</v>
      </c>
      <c r="E25" s="125" t="s">
        <v>270</v>
      </c>
      <c r="F25" s="58">
        <v>0.26</v>
      </c>
      <c r="G25" s="59" t="s">
        <v>273</v>
      </c>
      <c r="H25" s="127">
        <v>6</v>
      </c>
      <c r="I25" s="124"/>
    </row>
    <row r="26" spans="1:12" x14ac:dyDescent="0.2">
      <c r="B26" s="9"/>
      <c r="C26" s="15"/>
      <c r="D26" s="126" t="s">
        <v>274</v>
      </c>
      <c r="E26" s="125" t="s">
        <v>270</v>
      </c>
      <c r="F26" s="58">
        <v>0.31</v>
      </c>
      <c r="G26" s="59" t="s">
        <v>275</v>
      </c>
      <c r="H26" s="127">
        <v>6</v>
      </c>
      <c r="I26" s="124"/>
    </row>
    <row r="27" spans="1:12" x14ac:dyDescent="0.2">
      <c r="B27" s="9"/>
      <c r="C27" s="15"/>
      <c r="D27" s="126" t="s">
        <v>276</v>
      </c>
      <c r="E27" s="125" t="s">
        <v>270</v>
      </c>
      <c r="F27" s="58">
        <v>0.1</v>
      </c>
      <c r="G27" s="59" t="s">
        <v>277</v>
      </c>
      <c r="H27" s="127">
        <v>6</v>
      </c>
      <c r="I27" s="124"/>
    </row>
    <row r="28" spans="1:12" x14ac:dyDescent="0.2">
      <c r="B28" s="9"/>
      <c r="C28" s="15"/>
      <c r="D28" s="126" t="s">
        <v>278</v>
      </c>
      <c r="E28" s="125" t="s">
        <v>270</v>
      </c>
      <c r="F28" s="58">
        <v>0.28999999999999998</v>
      </c>
      <c r="G28" s="59" t="s">
        <v>279</v>
      </c>
      <c r="H28" s="127">
        <v>6</v>
      </c>
      <c r="I28" s="124"/>
    </row>
    <row r="29" spans="1:12" x14ac:dyDescent="0.2">
      <c r="B29" s="9"/>
      <c r="C29" s="15"/>
      <c r="D29" s="126" t="s">
        <v>280</v>
      </c>
      <c r="E29" s="125" t="s">
        <v>270</v>
      </c>
      <c r="F29" s="58">
        <v>0.12</v>
      </c>
      <c r="G29" s="59" t="s">
        <v>281</v>
      </c>
      <c r="H29" s="127">
        <v>6</v>
      </c>
      <c r="I29" s="124"/>
    </row>
    <row r="30" spans="1:12" x14ac:dyDescent="0.2">
      <c r="B30" s="9"/>
      <c r="C30" s="15"/>
      <c r="D30" s="126" t="s">
        <v>282</v>
      </c>
      <c r="E30" s="125" t="s">
        <v>270</v>
      </c>
      <c r="F30" s="58">
        <v>0.55000000000000004</v>
      </c>
      <c r="G30" s="59" t="s">
        <v>283</v>
      </c>
      <c r="H30" s="127">
        <v>6</v>
      </c>
      <c r="I30" s="124"/>
    </row>
    <row r="31" spans="1:12" x14ac:dyDescent="0.2">
      <c r="B31" s="9"/>
      <c r="C31" s="15"/>
      <c r="D31" s="126" t="s">
        <v>284</v>
      </c>
      <c r="E31" s="125" t="s">
        <v>270</v>
      </c>
      <c r="F31" s="58">
        <v>0.32</v>
      </c>
      <c r="G31" s="59" t="s">
        <v>285</v>
      </c>
      <c r="H31" s="127">
        <v>6</v>
      </c>
      <c r="I31" s="124"/>
    </row>
    <row r="32" spans="1:12" x14ac:dyDescent="0.2">
      <c r="B32" s="9"/>
      <c r="C32" s="15"/>
      <c r="D32" s="126" t="s">
        <v>286</v>
      </c>
      <c r="E32" s="125" t="s">
        <v>270</v>
      </c>
      <c r="F32" s="58">
        <v>0.34</v>
      </c>
      <c r="G32" s="59" t="s">
        <v>287</v>
      </c>
      <c r="H32" s="127">
        <v>6</v>
      </c>
      <c r="I32" s="124"/>
    </row>
    <row r="33" spans="1:9" x14ac:dyDescent="0.2">
      <c r="B33" s="9"/>
      <c r="C33" s="15"/>
      <c r="D33" s="126" t="s">
        <v>288</v>
      </c>
      <c r="E33" s="125" t="s">
        <v>270</v>
      </c>
      <c r="F33" s="58">
        <v>0.04</v>
      </c>
      <c r="G33" s="59" t="s">
        <v>67</v>
      </c>
      <c r="H33" s="127">
        <v>6</v>
      </c>
      <c r="I33" s="124"/>
    </row>
    <row r="34" spans="1:9" x14ac:dyDescent="0.2">
      <c r="B34" s="9"/>
      <c r="C34" s="15"/>
      <c r="D34" s="126" t="s">
        <v>289</v>
      </c>
      <c r="E34" s="125" t="s">
        <v>270</v>
      </c>
      <c r="F34" s="58">
        <v>0.19</v>
      </c>
      <c r="G34" s="59" t="s">
        <v>290</v>
      </c>
      <c r="H34" s="127">
        <v>6</v>
      </c>
      <c r="I34" s="124"/>
    </row>
    <row r="35" spans="1:9" x14ac:dyDescent="0.2">
      <c r="B35" s="9"/>
      <c r="C35" s="15"/>
      <c r="D35" s="126" t="s">
        <v>291</v>
      </c>
      <c r="E35" s="125" t="s">
        <v>270</v>
      </c>
      <c r="F35" s="58">
        <v>0.37</v>
      </c>
      <c r="G35" s="59" t="s">
        <v>292</v>
      </c>
      <c r="H35" s="127">
        <v>6</v>
      </c>
      <c r="I35" s="124"/>
    </row>
    <row r="36" spans="1:9" x14ac:dyDescent="0.2">
      <c r="B36" s="9"/>
      <c r="C36" s="15"/>
      <c r="D36" s="126" t="s">
        <v>293</v>
      </c>
      <c r="E36" s="125" t="s">
        <v>270</v>
      </c>
      <c r="F36" s="58">
        <v>0.75</v>
      </c>
      <c r="G36" s="59" t="s">
        <v>294</v>
      </c>
      <c r="H36" s="127">
        <v>6</v>
      </c>
      <c r="I36" s="124"/>
    </row>
    <row r="37" spans="1:9" x14ac:dyDescent="0.2">
      <c r="B37" s="9"/>
      <c r="C37" s="15"/>
      <c r="D37" s="126" t="s">
        <v>295</v>
      </c>
      <c r="E37" s="125" t="s">
        <v>270</v>
      </c>
      <c r="F37" s="150">
        <f>SUM(F24:F36)</f>
        <v>4.03</v>
      </c>
      <c r="H37" s="127"/>
      <c r="I37" s="124"/>
    </row>
    <row r="38" spans="1:9" x14ac:dyDescent="0.2">
      <c r="B38" s="9"/>
      <c r="C38" s="15"/>
      <c r="D38" s="23"/>
      <c r="H38" s="127"/>
      <c r="I38" s="124"/>
    </row>
    <row r="39" spans="1:9" s="9" customFormat="1" x14ac:dyDescent="0.2">
      <c r="A39" s="1"/>
      <c r="B39" s="8" t="s">
        <v>296</v>
      </c>
      <c r="C39" s="22"/>
      <c r="E39" s="47"/>
      <c r="G39" s="60"/>
      <c r="H39" s="60"/>
      <c r="I39" s="20"/>
    </row>
    <row r="40" spans="1:9" x14ac:dyDescent="0.2">
      <c r="B40" s="9"/>
      <c r="C40" s="15"/>
      <c r="D40" s="1" t="s">
        <v>297</v>
      </c>
      <c r="E40" s="2" t="s">
        <v>298</v>
      </c>
      <c r="F40" s="1">
        <v>41.6</v>
      </c>
      <c r="H40" s="127">
        <v>6</v>
      </c>
      <c r="I40" s="19"/>
    </row>
    <row r="41" spans="1:9" ht="13.8" x14ac:dyDescent="0.3">
      <c r="B41" s="9"/>
      <c r="C41" s="15"/>
      <c r="D41" s="1" t="s">
        <v>299</v>
      </c>
      <c r="E41" s="2" t="s">
        <v>300</v>
      </c>
      <c r="F41" s="58">
        <v>0.01</v>
      </c>
      <c r="H41" s="127">
        <v>6</v>
      </c>
      <c r="I41" s="148">
        <v>0.01</v>
      </c>
    </row>
    <row r="42" spans="1:9" ht="13.8" x14ac:dyDescent="0.3">
      <c r="B42" s="9"/>
      <c r="C42" s="15"/>
      <c r="D42" s="1" t="s">
        <v>301</v>
      </c>
      <c r="E42" s="2" t="s">
        <v>300</v>
      </c>
      <c r="F42" s="58">
        <v>0.05</v>
      </c>
      <c r="H42" s="127">
        <v>6</v>
      </c>
      <c r="I42" s="148">
        <v>0.05</v>
      </c>
    </row>
    <row r="43" spans="1:9" ht="22.8" x14ac:dyDescent="0.2">
      <c r="B43" s="9"/>
      <c r="C43" s="15"/>
      <c r="D43" s="52" t="s">
        <v>302</v>
      </c>
      <c r="E43" s="92" t="s">
        <v>303</v>
      </c>
      <c r="F43" s="93">
        <v>0.6</v>
      </c>
      <c r="H43" s="127">
        <v>6</v>
      </c>
      <c r="I43" s="148">
        <v>0.6</v>
      </c>
    </row>
    <row r="44" spans="1:9" x14ac:dyDescent="0.2">
      <c r="B44" s="9"/>
      <c r="C44" s="15"/>
      <c r="D44" s="52" t="s">
        <v>304</v>
      </c>
      <c r="E44" s="92" t="s">
        <v>305</v>
      </c>
      <c r="F44" s="93">
        <v>0.15</v>
      </c>
      <c r="H44" s="127">
        <v>6</v>
      </c>
      <c r="I44" s="148">
        <v>0.15</v>
      </c>
    </row>
    <row r="45" spans="1:9" x14ac:dyDescent="0.2">
      <c r="B45" s="9"/>
      <c r="C45" s="15"/>
      <c r="D45" s="52" t="s">
        <v>306</v>
      </c>
      <c r="E45" s="92" t="s">
        <v>305</v>
      </c>
      <c r="F45" s="93">
        <v>0.15</v>
      </c>
      <c r="H45" s="127">
        <v>6</v>
      </c>
      <c r="I45" s="148">
        <v>0.15</v>
      </c>
    </row>
    <row r="46" spans="1:9" x14ac:dyDescent="0.2">
      <c r="B46" s="9"/>
      <c r="C46" s="15"/>
      <c r="D46" s="52"/>
      <c r="E46" s="92"/>
      <c r="F46" s="93"/>
      <c r="H46" s="127"/>
      <c r="I46" s="19"/>
    </row>
    <row r="47" spans="1:9" x14ac:dyDescent="0.2">
      <c r="B47" s="81" t="s">
        <v>211</v>
      </c>
      <c r="C47" s="15"/>
      <c r="D47" s="1" t="s">
        <v>307</v>
      </c>
      <c r="E47" s="2" t="s">
        <v>308</v>
      </c>
      <c r="F47" s="1">
        <v>140</v>
      </c>
      <c r="G47" s="59" t="s">
        <v>309</v>
      </c>
      <c r="H47" s="127">
        <v>6</v>
      </c>
      <c r="I47" s="166">
        <f>'1. Pathway 1'!C261</f>
        <v>140</v>
      </c>
    </row>
    <row r="48" spans="1:9" x14ac:dyDescent="0.2">
      <c r="B48" s="9"/>
      <c r="C48" s="15"/>
      <c r="D48" s="1" t="s">
        <v>310</v>
      </c>
      <c r="E48" s="2" t="s">
        <v>170</v>
      </c>
      <c r="F48" s="89">
        <v>0.12</v>
      </c>
      <c r="H48" s="127"/>
      <c r="I48" s="159">
        <v>0.12</v>
      </c>
    </row>
    <row r="49" spans="2:9" x14ac:dyDescent="0.2">
      <c r="B49" s="9"/>
      <c r="C49" s="15"/>
      <c r="D49" s="1" t="s">
        <v>311</v>
      </c>
      <c r="E49" s="2" t="s">
        <v>308</v>
      </c>
      <c r="F49" s="1">
        <v>80</v>
      </c>
      <c r="H49" s="127">
        <v>6</v>
      </c>
      <c r="I49" s="19"/>
    </row>
    <row r="50" spans="2:9" x14ac:dyDescent="0.2">
      <c r="B50" s="9"/>
      <c r="C50" s="15"/>
      <c r="D50" s="1" t="s">
        <v>312</v>
      </c>
      <c r="E50" s="2" t="s">
        <v>170</v>
      </c>
      <c r="F50" s="89"/>
      <c r="H50" s="127"/>
      <c r="I50" s="19"/>
    </row>
    <row r="51" spans="2:9" x14ac:dyDescent="0.2">
      <c r="B51" s="9"/>
      <c r="C51" s="15"/>
      <c r="D51" s="1" t="s">
        <v>313</v>
      </c>
      <c r="E51" s="2" t="s">
        <v>308</v>
      </c>
      <c r="F51" s="1">
        <v>50</v>
      </c>
      <c r="H51" s="127">
        <v>6</v>
      </c>
      <c r="I51" s="19"/>
    </row>
    <row r="52" spans="2:9" x14ac:dyDescent="0.2">
      <c r="B52" s="9"/>
      <c r="C52" s="15"/>
      <c r="D52" s="1" t="s">
        <v>314</v>
      </c>
      <c r="E52" s="2" t="s">
        <v>308</v>
      </c>
      <c r="H52" s="127">
        <v>6</v>
      </c>
      <c r="I52" s="19"/>
    </row>
    <row r="53" spans="2:9" x14ac:dyDescent="0.2">
      <c r="B53" s="9"/>
      <c r="C53" s="15"/>
      <c r="D53" s="1" t="s">
        <v>315</v>
      </c>
      <c r="E53" s="2" t="s">
        <v>308</v>
      </c>
      <c r="F53" s="1">
        <v>42</v>
      </c>
      <c r="G53" s="59" t="s">
        <v>316</v>
      </c>
      <c r="H53" s="127">
        <v>6</v>
      </c>
      <c r="I53" s="19"/>
    </row>
    <row r="54" spans="2:9" x14ac:dyDescent="0.2">
      <c r="B54" s="9"/>
      <c r="C54" s="15"/>
      <c r="D54" s="1" t="s">
        <v>317</v>
      </c>
      <c r="E54" s="2" t="s">
        <v>318</v>
      </c>
      <c r="F54" s="1">
        <v>25</v>
      </c>
      <c r="G54" s="59" t="s">
        <v>319</v>
      </c>
      <c r="H54" s="127">
        <v>6</v>
      </c>
      <c r="I54" s="19"/>
    </row>
    <row r="55" spans="2:9" x14ac:dyDescent="0.2">
      <c r="B55" s="9"/>
      <c r="C55" s="15"/>
      <c r="H55" s="127"/>
      <c r="I55" s="19"/>
    </row>
    <row r="56" spans="2:9" x14ac:dyDescent="0.2">
      <c r="B56" s="81" t="s">
        <v>320</v>
      </c>
      <c r="C56" s="15"/>
      <c r="D56" s="1" t="s">
        <v>149</v>
      </c>
      <c r="E56" s="2" t="s">
        <v>318</v>
      </c>
      <c r="F56" s="151">
        <f>VLOOKUP(D56,Table_solvent[],3,FALSE)</f>
        <v>1</v>
      </c>
      <c r="H56" s="127">
        <v>6</v>
      </c>
      <c r="I56" s="156">
        <v>1</v>
      </c>
    </row>
    <row r="57" spans="2:9" x14ac:dyDescent="0.2">
      <c r="B57" s="9"/>
      <c r="C57" s="15"/>
      <c r="D57" s="1" t="s">
        <v>321</v>
      </c>
      <c r="E57" s="2" t="s">
        <v>318</v>
      </c>
      <c r="F57" s="151">
        <f>VLOOKUP(D57,Table_solvent[],3,FALSE)</f>
        <v>0</v>
      </c>
      <c r="H57" s="127">
        <v>6</v>
      </c>
      <c r="I57" s="19"/>
    </row>
    <row r="58" spans="2:9" x14ac:dyDescent="0.2">
      <c r="B58" s="9"/>
      <c r="C58" s="15"/>
      <c r="D58" s="1" t="s">
        <v>321</v>
      </c>
      <c r="E58" s="2" t="s">
        <v>318</v>
      </c>
      <c r="F58" s="151">
        <f>VLOOKUP(D58,Table_solvent[],3,FALSE)</f>
        <v>0</v>
      </c>
      <c r="H58" s="127">
        <v>6</v>
      </c>
      <c r="I58" s="19"/>
    </row>
    <row r="59" spans="2:9" x14ac:dyDescent="0.2">
      <c r="B59" s="9"/>
      <c r="C59" s="15"/>
      <c r="D59" s="1" t="s">
        <v>322</v>
      </c>
      <c r="E59" s="2" t="s">
        <v>318</v>
      </c>
      <c r="F59" s="137"/>
      <c r="H59" s="127"/>
      <c r="I59" s="19"/>
    </row>
    <row r="60" spans="2:9" x14ac:dyDescent="0.2">
      <c r="B60" s="9"/>
      <c r="C60" s="15"/>
      <c r="H60" s="127"/>
      <c r="I60" s="19"/>
    </row>
    <row r="61" spans="2:9" x14ac:dyDescent="0.2">
      <c r="B61" s="81" t="s">
        <v>323</v>
      </c>
      <c r="C61" s="15"/>
      <c r="D61" s="1" t="s">
        <v>564</v>
      </c>
      <c r="E61" s="2" t="s">
        <v>318</v>
      </c>
      <c r="F61" s="151">
        <f>VLOOKUP(D61,Table_elements[],3,FALSE)</f>
        <v>41600000</v>
      </c>
      <c r="H61" s="127">
        <v>6</v>
      </c>
      <c r="I61" s="19"/>
    </row>
    <row r="62" spans="2:9" x14ac:dyDescent="0.2">
      <c r="B62" s="9"/>
      <c r="C62" s="15"/>
      <c r="D62" s="1" t="s">
        <v>321</v>
      </c>
      <c r="E62" s="2" t="s">
        <v>318</v>
      </c>
      <c r="F62" s="151">
        <f>VLOOKUP(D62,Table_elements[],3,FALSE)</f>
        <v>0</v>
      </c>
      <c r="H62" s="127">
        <v>6</v>
      </c>
      <c r="I62" s="19"/>
    </row>
    <row r="63" spans="2:9" x14ac:dyDescent="0.2">
      <c r="B63" s="9"/>
      <c r="C63" s="15"/>
      <c r="D63" s="1" t="s">
        <v>321</v>
      </c>
      <c r="E63" s="2" t="s">
        <v>318</v>
      </c>
      <c r="F63" s="151">
        <f>VLOOKUP(D63,Table_elements[],3,FALSE)</f>
        <v>0</v>
      </c>
      <c r="H63" s="127">
        <v>6</v>
      </c>
      <c r="I63" s="19"/>
    </row>
    <row r="64" spans="2:9" x14ac:dyDescent="0.2">
      <c r="B64" s="9"/>
      <c r="C64" s="15"/>
      <c r="D64" s="1" t="s">
        <v>324</v>
      </c>
      <c r="E64" s="2" t="s">
        <v>318</v>
      </c>
      <c r="F64" s="137"/>
      <c r="H64" s="127"/>
      <c r="I64" s="19"/>
    </row>
    <row r="65" spans="1:9" x14ac:dyDescent="0.2">
      <c r="B65" s="9"/>
      <c r="C65" s="15"/>
      <c r="H65" s="127"/>
      <c r="I65" s="19"/>
    </row>
    <row r="66" spans="1:9" x14ac:dyDescent="0.2">
      <c r="B66" s="81" t="s">
        <v>242</v>
      </c>
      <c r="C66" s="15"/>
      <c r="D66" s="1" t="s">
        <v>325</v>
      </c>
      <c r="E66" s="2" t="s">
        <v>318</v>
      </c>
      <c r="H66" s="127"/>
      <c r="I66" s="19"/>
    </row>
    <row r="67" spans="1:9" x14ac:dyDescent="0.2">
      <c r="B67" s="9"/>
      <c r="C67" s="15"/>
      <c r="D67" s="1" t="s">
        <v>326</v>
      </c>
      <c r="E67" s="2" t="s">
        <v>327</v>
      </c>
      <c r="F67" s="1">
        <v>1.5</v>
      </c>
      <c r="G67" s="59" t="s">
        <v>328</v>
      </c>
      <c r="H67" s="127">
        <v>6</v>
      </c>
      <c r="I67" s="19"/>
    </row>
    <row r="68" spans="1:9" x14ac:dyDescent="0.2">
      <c r="B68" s="81"/>
      <c r="C68" s="15"/>
      <c r="H68" s="127"/>
      <c r="I68" s="19"/>
    </row>
    <row r="69" spans="1:9" x14ac:dyDescent="0.2">
      <c r="B69" s="9"/>
      <c r="C69" s="15"/>
      <c r="H69" s="127"/>
      <c r="I69" s="19"/>
    </row>
    <row r="70" spans="1:9" s="9" customFormat="1" x14ac:dyDescent="0.2">
      <c r="A70" s="1"/>
      <c r="B70" s="8" t="s">
        <v>329</v>
      </c>
      <c r="C70" s="22"/>
      <c r="E70" s="47"/>
      <c r="G70" s="60"/>
      <c r="H70" s="128"/>
      <c r="I70" s="20"/>
    </row>
    <row r="71" spans="1:9" x14ac:dyDescent="0.2">
      <c r="B71" s="81" t="s">
        <v>330</v>
      </c>
      <c r="C71" s="15"/>
      <c r="D71" s="1" t="s">
        <v>331</v>
      </c>
      <c r="E71" s="2" t="s">
        <v>170</v>
      </c>
      <c r="F71" s="58">
        <v>0.05</v>
      </c>
      <c r="G71" s="59" t="s">
        <v>332</v>
      </c>
      <c r="H71" s="127">
        <v>6</v>
      </c>
      <c r="I71" s="19"/>
    </row>
    <row r="72" spans="1:9" x14ac:dyDescent="0.2">
      <c r="B72" s="81"/>
      <c r="C72" s="15"/>
      <c r="H72" s="127"/>
      <c r="I72" s="19"/>
    </row>
    <row r="73" spans="1:9" x14ac:dyDescent="0.2">
      <c r="B73" s="81" t="s">
        <v>333</v>
      </c>
      <c r="C73" s="15"/>
      <c r="D73" s="1" t="s">
        <v>334</v>
      </c>
      <c r="E73" s="2" t="s">
        <v>318</v>
      </c>
      <c r="F73" s="130">
        <v>2000</v>
      </c>
      <c r="H73" s="208">
        <v>2</v>
      </c>
      <c r="I73" s="165">
        <v>2000</v>
      </c>
    </row>
    <row r="74" spans="1:9" x14ac:dyDescent="0.2">
      <c r="B74" s="81"/>
      <c r="C74" s="15"/>
      <c r="D74" s="1" t="s">
        <v>336</v>
      </c>
      <c r="E74" s="2" t="s">
        <v>335</v>
      </c>
      <c r="F74" s="1">
        <v>4</v>
      </c>
      <c r="H74" s="127">
        <v>2</v>
      </c>
      <c r="I74" s="156">
        <v>4</v>
      </c>
    </row>
    <row r="75" spans="1:9" x14ac:dyDescent="0.2">
      <c r="B75" s="81"/>
      <c r="C75" s="15"/>
      <c r="H75" s="127"/>
      <c r="I75" s="19"/>
    </row>
    <row r="76" spans="1:9" x14ac:dyDescent="0.2">
      <c r="B76" s="81" t="s">
        <v>337</v>
      </c>
      <c r="C76" s="15"/>
      <c r="D76" s="1" t="s">
        <v>677</v>
      </c>
      <c r="E76" s="2" t="s">
        <v>318</v>
      </c>
      <c r="F76" s="1">
        <v>42</v>
      </c>
      <c r="G76" s="59" t="s">
        <v>338</v>
      </c>
      <c r="H76" s="127">
        <v>2</v>
      </c>
      <c r="I76" s="156">
        <v>42</v>
      </c>
    </row>
    <row r="77" spans="1:9" x14ac:dyDescent="0.2">
      <c r="B77" s="81"/>
      <c r="C77" s="15"/>
      <c r="H77" s="127"/>
      <c r="I77" s="19"/>
    </row>
    <row r="78" spans="1:9" x14ac:dyDescent="0.2">
      <c r="B78" s="81"/>
      <c r="C78" s="15"/>
      <c r="H78" s="127"/>
      <c r="I78" s="19"/>
    </row>
    <row r="79" spans="1:9" x14ac:dyDescent="0.2">
      <c r="B79" s="81"/>
      <c r="C79" s="15"/>
      <c r="H79" s="127"/>
      <c r="I79" s="19"/>
    </row>
    <row r="80" spans="1:9" s="9" customFormat="1" x14ac:dyDescent="0.2">
      <c r="A80" s="1"/>
      <c r="B80" s="8" t="s">
        <v>339</v>
      </c>
      <c r="E80" s="47"/>
      <c r="G80" s="60"/>
      <c r="H80" s="128"/>
      <c r="I80" s="20"/>
    </row>
    <row r="81" spans="1:9" ht="14.4" x14ac:dyDescent="0.3">
      <c r="B81" s="21" t="s">
        <v>340</v>
      </c>
      <c r="C81" s="15" t="s">
        <v>176</v>
      </c>
      <c r="D81" s="1" t="s">
        <v>341</v>
      </c>
      <c r="F81"/>
      <c r="H81" s="127"/>
      <c r="I81" s="19"/>
    </row>
    <row r="82" spans="1:9" x14ac:dyDescent="0.2">
      <c r="B82" s="9"/>
      <c r="C82" s="15"/>
      <c r="D82" s="1" t="s">
        <v>342</v>
      </c>
      <c r="E82" s="2" t="s">
        <v>172</v>
      </c>
      <c r="H82" s="127"/>
      <c r="I82" s="19"/>
    </row>
    <row r="83" spans="1:9" x14ac:dyDescent="0.2">
      <c r="B83" s="9"/>
      <c r="C83" s="15" t="s">
        <v>177</v>
      </c>
      <c r="H83" s="127"/>
      <c r="I83" s="19"/>
    </row>
    <row r="84" spans="1:9" x14ac:dyDescent="0.2">
      <c r="B84" s="9"/>
      <c r="C84" s="15"/>
      <c r="H84" s="127"/>
      <c r="I84" s="19"/>
    </row>
    <row r="85" spans="1:9" x14ac:dyDescent="0.2">
      <c r="B85" s="21" t="s">
        <v>343</v>
      </c>
      <c r="C85" s="15" t="s">
        <v>176</v>
      </c>
      <c r="D85" s="1" t="s">
        <v>341</v>
      </c>
      <c r="H85" s="127"/>
      <c r="I85" s="19"/>
    </row>
    <row r="86" spans="1:9" x14ac:dyDescent="0.2">
      <c r="B86" s="9"/>
      <c r="C86" s="15"/>
      <c r="D86" s="1" t="s">
        <v>342</v>
      </c>
      <c r="E86" s="2" t="s">
        <v>172</v>
      </c>
      <c r="H86" s="127"/>
      <c r="I86" s="19"/>
    </row>
    <row r="87" spans="1:9" x14ac:dyDescent="0.2">
      <c r="B87" s="9"/>
      <c r="C87" s="15" t="s">
        <v>177</v>
      </c>
      <c r="H87" s="127"/>
      <c r="I87" s="19"/>
    </row>
    <row r="88" spans="1:9" x14ac:dyDescent="0.2">
      <c r="B88" s="9"/>
      <c r="C88" s="15"/>
      <c r="H88" s="127"/>
      <c r="I88" s="19"/>
    </row>
    <row r="89" spans="1:9" s="9" customFormat="1" x14ac:dyDescent="0.2">
      <c r="A89" s="1"/>
      <c r="B89" s="8" t="s">
        <v>200</v>
      </c>
      <c r="E89" s="47"/>
      <c r="G89" s="60"/>
      <c r="H89" s="128"/>
      <c r="I89" s="20"/>
    </row>
    <row r="90" spans="1:9" x14ac:dyDescent="0.2">
      <c r="B90" s="21" t="s">
        <v>201</v>
      </c>
      <c r="C90" s="15" t="s">
        <v>176</v>
      </c>
      <c r="D90" s="1" t="s">
        <v>341</v>
      </c>
      <c r="E90" s="2" t="s">
        <v>344</v>
      </c>
      <c r="F90" s="130">
        <v>1200</v>
      </c>
      <c r="H90" s="127">
        <v>2</v>
      </c>
      <c r="I90" s="157">
        <v>1200</v>
      </c>
    </row>
    <row r="91" spans="1:9" x14ac:dyDescent="0.2">
      <c r="B91" s="21"/>
      <c r="C91" s="15"/>
      <c r="D91" s="1" t="s">
        <v>345</v>
      </c>
      <c r="E91" s="2" t="s">
        <v>346</v>
      </c>
      <c r="F91" s="58">
        <v>0.35</v>
      </c>
      <c r="H91" s="127">
        <v>2</v>
      </c>
      <c r="I91" s="159">
        <v>0.35</v>
      </c>
    </row>
    <row r="92" spans="1:9" x14ac:dyDescent="0.2">
      <c r="B92" s="21"/>
      <c r="C92" s="15"/>
      <c r="D92" s="1" t="s">
        <v>347</v>
      </c>
      <c r="E92" s="2" t="s">
        <v>172</v>
      </c>
      <c r="F92" s="1">
        <v>20</v>
      </c>
      <c r="H92" s="127">
        <v>2</v>
      </c>
      <c r="I92" s="19"/>
    </row>
    <row r="93" spans="1:9" x14ac:dyDescent="0.2">
      <c r="B93" s="21"/>
      <c r="C93" s="15"/>
      <c r="D93" s="1" t="s">
        <v>348</v>
      </c>
      <c r="E93" s="2" t="s">
        <v>245</v>
      </c>
      <c r="F93" s="130">
        <v>60000</v>
      </c>
      <c r="H93" s="127">
        <v>2</v>
      </c>
      <c r="I93" s="19"/>
    </row>
    <row r="94" spans="1:9" x14ac:dyDescent="0.2">
      <c r="B94" s="21"/>
      <c r="C94" s="15"/>
      <c r="E94" s="2" t="s">
        <v>172</v>
      </c>
      <c r="F94" s="130"/>
      <c r="H94" s="127"/>
      <c r="I94" s="20">
        <f>ROUNDUP(IF(e_ecolifetime_yr&lt;=(F93/'Data - technical'!I24),e_ecolifetime_yr,F93/'Data - technical'!I24),0)</f>
        <v>8</v>
      </c>
    </row>
    <row r="95" spans="1:9" ht="13.8" x14ac:dyDescent="0.3">
      <c r="B95" s="9"/>
      <c r="C95" s="15" t="s">
        <v>177</v>
      </c>
      <c r="D95" s="1" t="s">
        <v>349</v>
      </c>
      <c r="E95" s="2" t="s">
        <v>300</v>
      </c>
      <c r="H95" s="127">
        <v>2</v>
      </c>
      <c r="I95" s="19"/>
    </row>
    <row r="96" spans="1:9" x14ac:dyDescent="0.2">
      <c r="B96" s="9"/>
      <c r="C96" s="15"/>
      <c r="H96" s="127"/>
      <c r="I96" s="19"/>
    </row>
    <row r="97" spans="1:9" x14ac:dyDescent="0.2">
      <c r="B97" s="21" t="s">
        <v>233</v>
      </c>
      <c r="C97" s="15" t="s">
        <v>176</v>
      </c>
      <c r="D97" s="1" t="s">
        <v>341</v>
      </c>
      <c r="E97" s="2" t="s">
        <v>344</v>
      </c>
      <c r="F97" s="130">
        <v>500</v>
      </c>
      <c r="H97" s="127">
        <v>2</v>
      </c>
      <c r="I97" s="157">
        <v>500</v>
      </c>
    </row>
    <row r="98" spans="1:9" x14ac:dyDescent="0.2">
      <c r="B98" s="21"/>
      <c r="C98" s="15"/>
      <c r="D98" s="1" t="s">
        <v>345</v>
      </c>
      <c r="E98" s="2" t="s">
        <v>346</v>
      </c>
      <c r="F98" s="58">
        <v>0.3</v>
      </c>
      <c r="H98" s="127"/>
      <c r="I98" s="159">
        <v>0.3</v>
      </c>
    </row>
    <row r="99" spans="1:9" x14ac:dyDescent="0.2">
      <c r="B99" s="21"/>
      <c r="C99" s="15"/>
      <c r="D99" s="1" t="s">
        <v>347</v>
      </c>
      <c r="E99" s="2" t="s">
        <v>172</v>
      </c>
      <c r="F99" s="1">
        <v>20</v>
      </c>
      <c r="H99" s="127">
        <v>2</v>
      </c>
      <c r="I99" s="19"/>
    </row>
    <row r="100" spans="1:9" x14ac:dyDescent="0.2">
      <c r="B100" s="21"/>
      <c r="C100" s="15"/>
      <c r="D100" s="1" t="s">
        <v>348</v>
      </c>
      <c r="E100" s="2" t="s">
        <v>245</v>
      </c>
      <c r="F100" s="130">
        <v>60000</v>
      </c>
      <c r="H100" s="127">
        <v>2</v>
      </c>
      <c r="I100" s="19"/>
    </row>
    <row r="101" spans="1:9" x14ac:dyDescent="0.2">
      <c r="B101" s="21"/>
      <c r="C101" s="15"/>
      <c r="E101" s="2" t="s">
        <v>172</v>
      </c>
      <c r="F101" s="130"/>
      <c r="H101" s="127"/>
      <c r="I101" s="20">
        <f>ROUNDUP(IF(e_ecolifetime_yr&lt;=(F100/'Data - technical'!I40),e_ecolifetime_yr,F100/'Data - technical'!I40),0)</f>
        <v>8</v>
      </c>
    </row>
    <row r="102" spans="1:9" ht="13.8" x14ac:dyDescent="0.3">
      <c r="B102" s="9"/>
      <c r="C102" s="15" t="s">
        <v>177</v>
      </c>
      <c r="D102" s="1" t="s">
        <v>349</v>
      </c>
      <c r="E102" s="2" t="s">
        <v>300</v>
      </c>
      <c r="H102" s="127">
        <v>2</v>
      </c>
      <c r="I102" s="19"/>
    </row>
    <row r="103" spans="1:9" x14ac:dyDescent="0.2">
      <c r="B103" s="9"/>
      <c r="C103" s="15"/>
      <c r="H103" s="127"/>
      <c r="I103" s="19"/>
    </row>
    <row r="104" spans="1:9" x14ac:dyDescent="0.2">
      <c r="B104" s="9"/>
      <c r="H104" s="127"/>
      <c r="I104" s="19"/>
    </row>
    <row r="105" spans="1:9" s="9" customFormat="1" x14ac:dyDescent="0.2">
      <c r="A105" s="1"/>
      <c r="B105" s="8" t="s">
        <v>238</v>
      </c>
      <c r="E105" s="47"/>
      <c r="G105" s="60"/>
      <c r="H105" s="128"/>
      <c r="I105" s="20"/>
    </row>
    <row r="106" spans="1:9" ht="13.8" x14ac:dyDescent="0.3">
      <c r="B106" s="21" t="s">
        <v>239</v>
      </c>
      <c r="C106" s="15" t="s">
        <v>176</v>
      </c>
      <c r="D106" s="1" t="s">
        <v>341</v>
      </c>
      <c r="E106" s="2" t="s">
        <v>350</v>
      </c>
      <c r="F106" s="130">
        <v>11000</v>
      </c>
      <c r="H106" s="127">
        <v>2</v>
      </c>
      <c r="I106" s="157">
        <v>11000</v>
      </c>
    </row>
    <row r="107" spans="1:9" x14ac:dyDescent="0.2">
      <c r="B107" s="9"/>
      <c r="C107" s="15"/>
      <c r="D107" s="1" t="s">
        <v>342</v>
      </c>
      <c r="E107" s="2" t="s">
        <v>172</v>
      </c>
      <c r="F107" s="1">
        <v>10</v>
      </c>
      <c r="H107" s="127">
        <v>2</v>
      </c>
      <c r="I107" s="20">
        <f>IF(e_ecolifetime_yr&lt;=F107,e_ecolifetime_yr,F107)</f>
        <v>10</v>
      </c>
    </row>
    <row r="108" spans="1:9" ht="13.8" x14ac:dyDescent="0.3">
      <c r="B108" s="9"/>
      <c r="C108" s="15" t="s">
        <v>177</v>
      </c>
      <c r="D108" s="1" t="s">
        <v>349</v>
      </c>
      <c r="E108" s="2" t="s">
        <v>300</v>
      </c>
      <c r="F108" s="58">
        <v>0.03</v>
      </c>
      <c r="H108" s="127">
        <v>2</v>
      </c>
      <c r="I108" s="19"/>
    </row>
    <row r="109" spans="1:9" x14ac:dyDescent="0.2">
      <c r="B109" s="9"/>
      <c r="C109" s="15"/>
      <c r="H109" s="127"/>
      <c r="I109" s="19"/>
    </row>
    <row r="110" spans="1:9" ht="13.8" x14ac:dyDescent="0.3">
      <c r="B110" s="21" t="s">
        <v>243</v>
      </c>
      <c r="C110" s="15" t="s">
        <v>176</v>
      </c>
      <c r="D110" s="1" t="s">
        <v>341</v>
      </c>
      <c r="E110" s="2" t="s">
        <v>335</v>
      </c>
      <c r="F110" s="1">
        <v>400</v>
      </c>
      <c r="H110" s="127">
        <v>2</v>
      </c>
      <c r="I110" s="157">
        <v>400</v>
      </c>
    </row>
    <row r="111" spans="1:9" x14ac:dyDescent="0.2">
      <c r="B111" s="9"/>
      <c r="C111" s="15"/>
      <c r="D111" s="1" t="s">
        <v>342</v>
      </c>
      <c r="E111" s="2" t="s">
        <v>172</v>
      </c>
      <c r="F111" s="1">
        <v>20</v>
      </c>
      <c r="H111" s="127">
        <v>2</v>
      </c>
      <c r="I111" s="20">
        <f>IF(e_ecolifetime_yr&lt;=F111,e_ecolifetime_yr,F111)</f>
        <v>15</v>
      </c>
    </row>
    <row r="112" spans="1:9" ht="13.8" x14ac:dyDescent="0.3">
      <c r="B112" s="9"/>
      <c r="C112" s="15" t="s">
        <v>177</v>
      </c>
      <c r="D112" s="1" t="s">
        <v>349</v>
      </c>
      <c r="E112" s="2" t="s">
        <v>300</v>
      </c>
      <c r="F112" s="58">
        <v>0.02</v>
      </c>
      <c r="H112" s="127">
        <v>2</v>
      </c>
      <c r="I112" s="19"/>
    </row>
    <row r="113" spans="2:9" x14ac:dyDescent="0.2">
      <c r="B113" s="9"/>
      <c r="H113" s="127"/>
      <c r="I113" s="19"/>
    </row>
    <row r="114" spans="2:9" x14ac:dyDescent="0.2">
      <c r="B114" s="9"/>
      <c r="H114" s="127"/>
      <c r="I114" s="19"/>
    </row>
  </sheetData>
  <phoneticPr fontId="14" type="noConversion"/>
  <dataValidations count="4">
    <dataValidation type="list" allowBlank="1" showInputMessage="1" showErrorMessage="1" sqref="D56:D58" xr:uid="{00000000-0002-0000-0700-000000000000}">
      <formula1>Solvents</formula1>
    </dataValidation>
    <dataValidation type="list" allowBlank="1" showInputMessage="1" showErrorMessage="1" sqref="D61:D63" xr:uid="{00000000-0002-0000-0700-000001000000}">
      <formula1>Critical_elements</formula1>
    </dataValidation>
    <dataValidation type="whole" allowBlank="1" showInputMessage="1" showErrorMessage="1" error="Should be value between 1 and 6. " prompt="1 = Primary data from experiments_x000a_2 = Secondary data from literature for similar technology, time &amp; region_x000a_3 = Secondary data from literature for different technology, time &amp; region _x000a_4 = Expert estimate _x000a_5 = Own assumption_x000a_6 = Default value from template" sqref="H19 H39 H80 H70 H89 H105" xr:uid="{00000000-0002-0000-0700-000002000000}">
      <formula1>1</formula1>
      <formula2>6</formula2>
    </dataValidation>
    <dataValidation type="whole" allowBlank="1" showInputMessage="1" showErrorMessage="1" error="Should be value between 1 and 6. " prompt="1 = Primary data from experiments_x000a_2 = Secondary data for similar technology, time &amp; region_x000a_3 = Secondary data for different technology, time &amp; region _x000a_4 = Expert estimate _x000a_5 = Own assumption_x000a_6 = Default value from template" sqref="H10:H18 H20:H38 H40:H69 H71:H79 H81:H88 H106:H114 H90:H104" xr:uid="{00000000-0002-0000-0700-000003000000}">
      <formula1>1</formula1>
      <formula2>6</formula2>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DB692345-401A-49A5-B3EE-207E18FD79F7}">
            <xm:f>VLOOKUP(D61,'Dropdown list'!$H$6:$I$69,2,FALSE) = 3</xm:f>
            <x14:dxf>
              <fill>
                <patternFill>
                  <bgColor rgb="FFFF0000"/>
                </patternFill>
              </fill>
            </x14:dxf>
          </x14:cfRule>
          <x14:cfRule type="expression" priority="8" id="{9739FC49-C0EB-46EB-8D76-4B938DC57F4E}">
            <xm:f>VLOOKUP(D61,'Dropdown list'!$H$6:$I$69,2,FALSE) = 2</xm:f>
            <x14:dxf>
              <fill>
                <patternFill>
                  <bgColor theme="5"/>
                </patternFill>
              </fill>
            </x14:dxf>
          </x14:cfRule>
          <x14:cfRule type="expression" priority="9" id="{517F440C-8E21-4921-A13C-6F2CF8DED5CA}">
            <xm:f>VLOOKUP(D61,'Dropdown list'!$H$6:$I$69,2,FALSE) = 1</xm:f>
            <x14:dxf>
              <fill>
                <patternFill>
                  <bgColor theme="9"/>
                </patternFill>
              </fill>
            </x14:dxf>
          </x14:cfRule>
          <xm:sqref>D61:D63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DADEB8"/>
  </sheetPr>
  <dimension ref="A1:L83"/>
  <sheetViews>
    <sheetView topLeftCell="A37" zoomScaleNormal="100" workbookViewId="0">
      <pane xSplit="1" topLeftCell="B1" activePane="topRight" state="frozen"/>
      <selection pane="topRight" activeCell="F67" sqref="F67"/>
    </sheetView>
  </sheetViews>
  <sheetFormatPr defaultColWidth="9.109375" defaultRowHeight="11.4" x14ac:dyDescent="0.2"/>
  <cols>
    <col min="1" max="2" width="30.6640625" style="1" customWidth="1"/>
    <col min="3" max="3" width="15.6640625" style="1" customWidth="1"/>
    <col min="4" max="4" width="40.6640625" style="1" customWidth="1"/>
    <col min="5" max="5" width="21.6640625" style="1" bestFit="1" customWidth="1"/>
    <col min="6" max="6" width="20.6640625" style="1" customWidth="1"/>
    <col min="7" max="8" width="15.6640625" style="1" customWidth="1"/>
    <col min="9" max="25" width="20.6640625" style="1" customWidth="1"/>
    <col min="26" max="16384" width="9.109375" style="1"/>
  </cols>
  <sheetData>
    <row r="1" spans="1:12" ht="144" customHeight="1" x14ac:dyDescent="0.2"/>
    <row r="4" spans="1:12" ht="19.8" x14ac:dyDescent="0.3">
      <c r="B4" s="3" t="s">
        <v>351</v>
      </c>
    </row>
    <row r="7" spans="1:12" x14ac:dyDescent="0.2">
      <c r="E7" s="2"/>
      <c r="G7" s="59"/>
      <c r="H7" s="59"/>
    </row>
    <row r="8" spans="1:12" s="114" customFormat="1" x14ac:dyDescent="0.3">
      <c r="A8" s="92"/>
      <c r="B8" s="110"/>
      <c r="C8" s="111"/>
      <c r="D8" s="115" t="s">
        <v>147</v>
      </c>
      <c r="E8" s="110" t="s">
        <v>136</v>
      </c>
      <c r="F8" s="115" t="s">
        <v>193</v>
      </c>
      <c r="G8" s="112" t="s">
        <v>194</v>
      </c>
      <c r="H8" s="112" t="s">
        <v>195</v>
      </c>
      <c r="I8" s="113" t="str">
        <f>'Pathway definition and results'!E13</f>
        <v xml:space="preserve">1. Pathway 1 </v>
      </c>
      <c r="J8" s="110" t="str">
        <f>'Pathway definition and results'!F13</f>
        <v>2. Pathway 2</v>
      </c>
      <c r="K8" s="110" t="str">
        <f>'Pathway definition and results'!G13</f>
        <v>3. Pathway 3</v>
      </c>
      <c r="L8" s="110" t="str">
        <f>'Pathway definition and results'!H13</f>
        <v xml:space="preserve">4. Pathway 4 </v>
      </c>
    </row>
    <row r="9" spans="1:12" s="45" customFormat="1" x14ac:dyDescent="0.2">
      <c r="A9" s="1"/>
      <c r="B9" s="72" t="s">
        <v>352</v>
      </c>
      <c r="C9" s="73"/>
      <c r="E9" s="74"/>
      <c r="G9" s="75"/>
      <c r="H9" s="75"/>
      <c r="I9" s="76"/>
    </row>
    <row r="10" spans="1:12" ht="13.8" x14ac:dyDescent="0.3">
      <c r="B10" s="82" t="s">
        <v>353</v>
      </c>
      <c r="C10" s="15"/>
      <c r="D10" s="23" t="s">
        <v>354</v>
      </c>
      <c r="E10" s="2" t="s">
        <v>355</v>
      </c>
      <c r="F10" s="130">
        <v>1</v>
      </c>
      <c r="G10" s="59" t="s">
        <v>67</v>
      </c>
      <c r="H10" s="70">
        <v>6</v>
      </c>
      <c r="I10" s="19"/>
    </row>
    <row r="11" spans="1:12" ht="13.8" x14ac:dyDescent="0.3">
      <c r="B11" s="82"/>
      <c r="C11" s="15"/>
      <c r="D11" s="23" t="s">
        <v>356</v>
      </c>
      <c r="E11" s="2" t="s">
        <v>355</v>
      </c>
      <c r="F11" s="130">
        <v>0</v>
      </c>
      <c r="G11" s="59" t="s">
        <v>67</v>
      </c>
      <c r="H11" s="70">
        <v>6</v>
      </c>
      <c r="I11" s="19"/>
    </row>
    <row r="12" spans="1:12" ht="13.8" x14ac:dyDescent="0.3">
      <c r="B12" s="45"/>
      <c r="C12" s="15"/>
      <c r="D12" s="23" t="s">
        <v>357</v>
      </c>
      <c r="E12" s="2" t="s">
        <v>358</v>
      </c>
      <c r="F12" s="131">
        <v>28</v>
      </c>
      <c r="G12" s="59" t="s">
        <v>359</v>
      </c>
      <c r="H12" s="70">
        <v>6</v>
      </c>
      <c r="I12" s="19"/>
    </row>
    <row r="13" spans="1:12" ht="13.8" x14ac:dyDescent="0.3">
      <c r="B13" s="45"/>
      <c r="C13" s="15"/>
      <c r="D13" s="23" t="s">
        <v>360</v>
      </c>
      <c r="E13" s="2" t="s">
        <v>361</v>
      </c>
      <c r="F13" s="130">
        <v>265</v>
      </c>
      <c r="G13" s="59" t="s">
        <v>67</v>
      </c>
      <c r="H13" s="70">
        <v>6</v>
      </c>
      <c r="I13" s="19"/>
    </row>
    <row r="14" spans="1:12" ht="13.8" x14ac:dyDescent="0.3">
      <c r="B14" s="45"/>
      <c r="C14" s="15"/>
      <c r="D14" s="23" t="s">
        <v>362</v>
      </c>
      <c r="E14" s="2" t="s">
        <v>363</v>
      </c>
      <c r="F14" s="130">
        <v>782</v>
      </c>
      <c r="G14" s="59" t="s">
        <v>67</v>
      </c>
      <c r="H14" s="70">
        <v>6</v>
      </c>
      <c r="I14" s="19"/>
    </row>
    <row r="15" spans="1:12" ht="13.8" x14ac:dyDescent="0.3">
      <c r="B15" s="45"/>
      <c r="C15" s="15"/>
      <c r="D15" s="23" t="s">
        <v>364</v>
      </c>
      <c r="E15" s="2" t="s">
        <v>365</v>
      </c>
      <c r="F15" s="130">
        <v>1300</v>
      </c>
      <c r="G15" s="59" t="s">
        <v>67</v>
      </c>
      <c r="H15" s="70">
        <v>6</v>
      </c>
      <c r="I15" s="19"/>
    </row>
    <row r="16" spans="1:12" ht="13.8" x14ac:dyDescent="0.3">
      <c r="B16" s="45"/>
      <c r="C16" s="15"/>
      <c r="D16" s="23" t="s">
        <v>366</v>
      </c>
      <c r="E16" s="2" t="s">
        <v>367</v>
      </c>
      <c r="F16" s="130">
        <v>1760</v>
      </c>
      <c r="G16" s="59" t="s">
        <v>67</v>
      </c>
      <c r="H16" s="70">
        <v>6</v>
      </c>
      <c r="I16" s="19"/>
    </row>
    <row r="17" spans="1:9" ht="13.8" x14ac:dyDescent="0.3">
      <c r="B17" s="45"/>
      <c r="C17" s="15"/>
      <c r="D17" s="23" t="s">
        <v>368</v>
      </c>
      <c r="E17" s="2" t="s">
        <v>369</v>
      </c>
      <c r="F17" s="131">
        <v>1980</v>
      </c>
      <c r="G17" s="59" t="s">
        <v>67</v>
      </c>
      <c r="H17" s="70">
        <v>6</v>
      </c>
      <c r="I17" s="19"/>
    </row>
    <row r="18" spans="1:9" ht="13.8" x14ac:dyDescent="0.3">
      <c r="B18" s="45"/>
      <c r="C18" s="15"/>
      <c r="D18" s="23" t="s">
        <v>370</v>
      </c>
      <c r="E18" s="2" t="s">
        <v>371</v>
      </c>
      <c r="F18" s="131">
        <v>4660</v>
      </c>
      <c r="G18" s="59" t="s">
        <v>67</v>
      </c>
      <c r="H18" s="70">
        <v>6</v>
      </c>
      <c r="I18" s="19"/>
    </row>
    <row r="19" spans="1:9" ht="13.8" x14ac:dyDescent="0.3">
      <c r="B19" s="45"/>
      <c r="C19" s="15"/>
      <c r="D19" s="23" t="s">
        <v>372</v>
      </c>
      <c r="E19" s="2" t="s">
        <v>373</v>
      </c>
      <c r="F19" s="131">
        <v>10200</v>
      </c>
      <c r="G19" s="59" t="s">
        <v>67</v>
      </c>
      <c r="H19" s="70">
        <v>6</v>
      </c>
      <c r="I19" s="19"/>
    </row>
    <row r="20" spans="1:9" ht="13.8" x14ac:dyDescent="0.3">
      <c r="B20" s="45"/>
      <c r="C20" s="15"/>
      <c r="D20" s="23" t="s">
        <v>374</v>
      </c>
      <c r="E20" s="2" t="s">
        <v>375</v>
      </c>
      <c r="F20" s="131">
        <v>23500</v>
      </c>
      <c r="G20" s="59" t="s">
        <v>67</v>
      </c>
      <c r="H20" s="70">
        <v>6</v>
      </c>
      <c r="I20" s="19"/>
    </row>
    <row r="21" spans="1:9" x14ac:dyDescent="0.2">
      <c r="B21" s="45"/>
      <c r="C21" s="15"/>
      <c r="D21" s="23"/>
      <c r="E21" s="2"/>
      <c r="F21" s="78"/>
      <c r="G21" s="59"/>
      <c r="H21" s="70"/>
      <c r="I21" s="19"/>
    </row>
    <row r="22" spans="1:9" x14ac:dyDescent="0.2">
      <c r="B22" s="45"/>
      <c r="C22" s="15"/>
      <c r="D22" s="23"/>
      <c r="E22" s="2"/>
      <c r="F22" s="78"/>
      <c r="G22" s="59"/>
      <c r="H22" s="70"/>
      <c r="I22" s="19"/>
    </row>
    <row r="23" spans="1:9" s="45" customFormat="1" x14ac:dyDescent="0.2">
      <c r="A23" s="1"/>
      <c r="B23" s="72" t="s">
        <v>376</v>
      </c>
      <c r="C23" s="73"/>
      <c r="E23" s="74"/>
      <c r="G23" s="75"/>
      <c r="H23" s="75"/>
      <c r="I23" s="76"/>
    </row>
    <row r="24" spans="1:9" ht="13.8" x14ac:dyDescent="0.3">
      <c r="B24" s="82" t="s">
        <v>211</v>
      </c>
      <c r="C24" s="15"/>
      <c r="D24" s="1" t="s">
        <v>710</v>
      </c>
      <c r="E24" s="129" t="s">
        <v>377</v>
      </c>
      <c r="F24" s="138">
        <v>0.25</v>
      </c>
      <c r="G24" s="59" t="s">
        <v>67</v>
      </c>
      <c r="H24" s="70">
        <v>6</v>
      </c>
      <c r="I24" s="501">
        <f>'1. Pathway 1'!C285</f>
        <v>0.25</v>
      </c>
    </row>
    <row r="25" spans="1:9" ht="13.8" x14ac:dyDescent="0.3">
      <c r="B25" s="45"/>
      <c r="C25" s="15"/>
      <c r="D25" s="1" t="s">
        <v>378</v>
      </c>
      <c r="E25" s="129" t="s">
        <v>377</v>
      </c>
      <c r="G25" s="59" t="s">
        <v>67</v>
      </c>
      <c r="H25" s="70">
        <v>6</v>
      </c>
      <c r="I25" s="19"/>
    </row>
    <row r="26" spans="1:9" ht="13.8" x14ac:dyDescent="0.3">
      <c r="B26" s="45"/>
      <c r="C26" s="15"/>
      <c r="D26" s="1" t="s">
        <v>711</v>
      </c>
      <c r="E26" s="2" t="s">
        <v>379</v>
      </c>
      <c r="F26" s="1">
        <v>1.7600000000000001E-2</v>
      </c>
      <c r="G26" s="59" t="s">
        <v>67</v>
      </c>
      <c r="H26" s="70">
        <v>6</v>
      </c>
      <c r="I26" s="156">
        <v>0.03</v>
      </c>
    </row>
    <row r="27" spans="1:9" ht="13.8" x14ac:dyDescent="0.3">
      <c r="B27" s="45"/>
      <c r="C27" s="15"/>
      <c r="D27" s="1" t="s">
        <v>712</v>
      </c>
      <c r="E27" s="2" t="s">
        <v>380</v>
      </c>
      <c r="F27" s="498">
        <v>0.73364436</v>
      </c>
      <c r="G27" s="59" t="s">
        <v>67</v>
      </c>
      <c r="H27" s="70">
        <v>6</v>
      </c>
      <c r="I27" s="19"/>
    </row>
    <row r="28" spans="1:9" ht="13.8" x14ac:dyDescent="0.3">
      <c r="B28" s="45"/>
      <c r="C28" s="15"/>
      <c r="D28" s="1" t="s">
        <v>713</v>
      </c>
      <c r="E28" s="2" t="s">
        <v>380</v>
      </c>
      <c r="F28" s="498">
        <f>3015.65461610738/1000</f>
        <v>3.0156546161073803</v>
      </c>
      <c r="G28" s="59" t="s">
        <v>67</v>
      </c>
      <c r="H28" s="70">
        <v>6</v>
      </c>
      <c r="I28" s="19"/>
    </row>
    <row r="29" spans="1:9" ht="13.8" x14ac:dyDescent="0.3">
      <c r="B29" s="45"/>
      <c r="C29" s="15"/>
      <c r="D29" s="1" t="s">
        <v>381</v>
      </c>
      <c r="E29" s="129" t="s">
        <v>382</v>
      </c>
      <c r="F29" s="498">
        <v>3.347E-2</v>
      </c>
      <c r="G29" s="59" t="s">
        <v>67</v>
      </c>
      <c r="H29" s="70">
        <v>6</v>
      </c>
      <c r="I29" s="19"/>
    </row>
    <row r="30" spans="1:9" ht="13.8" x14ac:dyDescent="0.3">
      <c r="B30" s="45"/>
      <c r="C30" s="15"/>
      <c r="D30" s="1" t="s">
        <v>714</v>
      </c>
      <c r="E30" s="129" t="s">
        <v>382</v>
      </c>
      <c r="F30" s="1">
        <v>0.2</v>
      </c>
      <c r="G30" s="59" t="s">
        <v>67</v>
      </c>
      <c r="H30" s="70">
        <v>6</v>
      </c>
      <c r="I30" s="19"/>
    </row>
    <row r="31" spans="1:9" ht="13.8" x14ac:dyDescent="0.3">
      <c r="B31" s="45"/>
      <c r="C31" s="15"/>
      <c r="D31" s="1" t="s">
        <v>715</v>
      </c>
      <c r="E31" s="2" t="s">
        <v>379</v>
      </c>
      <c r="F31" s="1">
        <v>0.27750000000000002</v>
      </c>
      <c r="G31" s="59" t="s">
        <v>67</v>
      </c>
      <c r="H31" s="70">
        <v>6</v>
      </c>
      <c r="I31" s="19"/>
    </row>
    <row r="32" spans="1:9" ht="13.8" x14ac:dyDescent="0.3">
      <c r="B32" s="82"/>
      <c r="C32" s="15"/>
      <c r="D32" s="1" t="s">
        <v>716</v>
      </c>
      <c r="E32" s="2" t="s">
        <v>379</v>
      </c>
      <c r="F32" s="1">
        <v>0.22</v>
      </c>
      <c r="G32" s="59" t="s">
        <v>67</v>
      </c>
      <c r="H32" s="70">
        <v>6</v>
      </c>
      <c r="I32" s="19"/>
    </row>
    <row r="33" spans="2:9" ht="13.8" x14ac:dyDescent="0.3">
      <c r="B33" s="45"/>
      <c r="C33" s="15"/>
      <c r="D33" s="1" t="s">
        <v>717</v>
      </c>
      <c r="E33" s="2" t="s">
        <v>379</v>
      </c>
      <c r="F33" s="1">
        <v>0.43</v>
      </c>
      <c r="G33" s="59" t="s">
        <v>67</v>
      </c>
      <c r="H33" s="70">
        <v>6</v>
      </c>
      <c r="I33" s="19"/>
    </row>
    <row r="34" spans="2:9" ht="13.8" x14ac:dyDescent="0.3">
      <c r="B34" s="45"/>
      <c r="C34" s="15"/>
      <c r="D34" s="1" t="s">
        <v>718</v>
      </c>
      <c r="E34" s="2" t="s">
        <v>379</v>
      </c>
      <c r="F34" s="1">
        <v>0.26</v>
      </c>
      <c r="G34" s="59" t="s">
        <v>67</v>
      </c>
      <c r="H34" s="70">
        <v>6</v>
      </c>
      <c r="I34" s="19"/>
    </row>
    <row r="35" spans="2:9" ht="13.8" x14ac:dyDescent="0.3">
      <c r="B35" s="45"/>
      <c r="C35" s="15"/>
      <c r="D35" s="1" t="s">
        <v>719</v>
      </c>
      <c r="E35" s="2" t="s">
        <v>379</v>
      </c>
      <c r="F35" s="1">
        <v>0.06</v>
      </c>
      <c r="G35" s="59" t="s">
        <v>67</v>
      </c>
      <c r="H35" s="70">
        <v>6</v>
      </c>
      <c r="I35" s="19"/>
    </row>
    <row r="36" spans="2:9" ht="13.8" x14ac:dyDescent="0.3">
      <c r="B36" s="45"/>
      <c r="C36" s="15"/>
      <c r="D36" s="1" t="s">
        <v>720</v>
      </c>
      <c r="E36" s="2" t="s">
        <v>379</v>
      </c>
      <c r="F36" s="1">
        <v>0.05</v>
      </c>
      <c r="G36" s="59" t="s">
        <v>67</v>
      </c>
      <c r="H36" s="70">
        <v>6</v>
      </c>
      <c r="I36" s="19"/>
    </row>
    <row r="37" spans="2:9" ht="13.8" x14ac:dyDescent="0.3">
      <c r="B37" s="45"/>
      <c r="C37" s="15"/>
      <c r="D37" s="1" t="s">
        <v>383</v>
      </c>
      <c r="E37" s="129" t="s">
        <v>384</v>
      </c>
      <c r="F37" s="499">
        <v>1.7409999999999998E-2</v>
      </c>
      <c r="G37" s="59" t="s">
        <v>67</v>
      </c>
      <c r="H37" s="70">
        <v>6</v>
      </c>
      <c r="I37" s="19"/>
    </row>
    <row r="38" spans="2:9" ht="13.8" x14ac:dyDescent="0.3">
      <c r="B38" s="45"/>
      <c r="C38" s="15"/>
      <c r="D38" s="1" t="s">
        <v>721</v>
      </c>
      <c r="E38" s="129" t="s">
        <v>384</v>
      </c>
      <c r="F38" s="500">
        <v>0.62273408600000002</v>
      </c>
      <c r="G38" s="59" t="s">
        <v>67</v>
      </c>
      <c r="H38" s="70">
        <v>6</v>
      </c>
      <c r="I38" s="19"/>
    </row>
    <row r="39" spans="2:9" ht="13.8" x14ac:dyDescent="0.3">
      <c r="B39" s="45"/>
      <c r="C39" s="15"/>
      <c r="D39" s="1" t="s">
        <v>722</v>
      </c>
      <c r="E39" s="129" t="s">
        <v>384</v>
      </c>
      <c r="F39" s="500">
        <v>1.483384086</v>
      </c>
      <c r="G39" s="59" t="s">
        <v>67</v>
      </c>
      <c r="H39" s="70">
        <v>6</v>
      </c>
      <c r="I39" s="19"/>
    </row>
    <row r="40" spans="2:9" ht="13.8" x14ac:dyDescent="0.3">
      <c r="B40" s="45"/>
      <c r="C40" s="15"/>
      <c r="D40" s="1" t="s">
        <v>723</v>
      </c>
      <c r="E40" s="129" t="s">
        <v>384</v>
      </c>
      <c r="F40" s="1">
        <v>0.20399999999999999</v>
      </c>
      <c r="G40" s="59" t="s">
        <v>67</v>
      </c>
      <c r="H40" s="70">
        <v>6</v>
      </c>
      <c r="I40" s="19"/>
    </row>
    <row r="41" spans="2:9" ht="13.8" x14ac:dyDescent="0.3">
      <c r="B41" s="45"/>
      <c r="C41" s="15"/>
      <c r="D41" s="1" t="s">
        <v>724</v>
      </c>
      <c r="E41" s="129" t="s">
        <v>384</v>
      </c>
      <c r="F41" s="498">
        <v>9.4000000000000004E-3</v>
      </c>
      <c r="G41" s="59" t="s">
        <v>67</v>
      </c>
      <c r="H41" s="70">
        <v>6</v>
      </c>
      <c r="I41" s="19"/>
    </row>
    <row r="42" spans="2:9" x14ac:dyDescent="0.2">
      <c r="B42" s="45"/>
      <c r="C42" s="15"/>
      <c r="G42" s="59"/>
      <c r="H42" s="70"/>
      <c r="I42" s="19"/>
    </row>
    <row r="43" spans="2:9" ht="13.8" x14ac:dyDescent="0.3">
      <c r="B43" s="82" t="s">
        <v>385</v>
      </c>
      <c r="C43" s="15"/>
      <c r="D43" s="1" t="s">
        <v>386</v>
      </c>
      <c r="E43" s="2" t="s">
        <v>380</v>
      </c>
      <c r="G43" s="59"/>
      <c r="H43" s="70"/>
      <c r="I43" s="19"/>
    </row>
    <row r="44" spans="2:9" x14ac:dyDescent="0.2">
      <c r="B44" s="45"/>
      <c r="C44" s="15"/>
      <c r="E44" s="2"/>
      <c r="G44" s="59"/>
      <c r="H44" s="70"/>
      <c r="I44" s="19"/>
    </row>
    <row r="45" spans="2:9" ht="13.8" x14ac:dyDescent="0.3">
      <c r="B45" s="82" t="s">
        <v>320</v>
      </c>
      <c r="C45" s="15"/>
      <c r="D45" s="1" t="str">
        <f>'Data - economic'!D56</f>
        <v>Water</v>
      </c>
      <c r="E45" s="2" t="s">
        <v>380</v>
      </c>
      <c r="F45" s="153">
        <f>VLOOKUP(D45,Table_solvent[],4,FALSE)</f>
        <v>1.7699999999999999E-4</v>
      </c>
      <c r="G45" s="59"/>
      <c r="H45" s="70">
        <v>6</v>
      </c>
      <c r="I45" s="187">
        <v>1.7699999999999999E-4</v>
      </c>
    </row>
    <row r="46" spans="2:9" ht="13.8" x14ac:dyDescent="0.3">
      <c r="B46" s="45"/>
      <c r="C46" s="15"/>
      <c r="D46" s="1" t="str">
        <f>'Data - economic'!D57</f>
        <v>Make selection</v>
      </c>
      <c r="E46" s="2" t="s">
        <v>380</v>
      </c>
      <c r="F46" s="153">
        <f>VLOOKUP(D46,Table_solvent[],4,FALSE)</f>
        <v>0</v>
      </c>
      <c r="G46" s="59"/>
      <c r="H46" s="70">
        <v>6</v>
      </c>
      <c r="I46" s="19"/>
    </row>
    <row r="47" spans="2:9" ht="13.8" x14ac:dyDescent="0.3">
      <c r="B47" s="45"/>
      <c r="C47" s="15"/>
      <c r="D47" s="1" t="str">
        <f>'Data - economic'!D58</f>
        <v>Make selection</v>
      </c>
      <c r="E47" s="2" t="s">
        <v>380</v>
      </c>
      <c r="F47" s="153">
        <f>VLOOKUP(D47,Table_solvent[],4,FALSE)</f>
        <v>0</v>
      </c>
      <c r="G47" s="59"/>
      <c r="H47" s="70">
        <v>6</v>
      </c>
      <c r="I47" s="19"/>
    </row>
    <row r="48" spans="2:9" ht="13.8" x14ac:dyDescent="0.3">
      <c r="B48" s="45"/>
      <c r="C48" s="15"/>
      <c r="D48" s="1" t="str">
        <f>'Data - economic'!D59</f>
        <v>Other solvent not in dropdown list</v>
      </c>
      <c r="E48" s="2" t="s">
        <v>380</v>
      </c>
      <c r="F48" s="136"/>
      <c r="G48" s="59"/>
      <c r="H48" s="70"/>
      <c r="I48" s="19"/>
    </row>
    <row r="49" spans="1:9" ht="13.8" x14ac:dyDescent="0.3">
      <c r="B49" s="45"/>
      <c r="C49" s="15"/>
      <c r="E49" s="2" t="s">
        <v>380</v>
      </c>
      <c r="G49" s="59"/>
      <c r="H49" s="70"/>
      <c r="I49" s="19"/>
    </row>
    <row r="50" spans="1:9" x14ac:dyDescent="0.2">
      <c r="B50" s="45"/>
      <c r="C50" s="15"/>
      <c r="E50" s="2"/>
      <c r="G50" s="59"/>
      <c r="H50" s="70"/>
      <c r="I50" s="19"/>
    </row>
    <row r="51" spans="1:9" ht="13.8" x14ac:dyDescent="0.3">
      <c r="B51" s="82" t="s">
        <v>387</v>
      </c>
      <c r="C51" s="15"/>
      <c r="E51" s="2" t="s">
        <v>380</v>
      </c>
      <c r="G51" s="59"/>
      <c r="H51" s="70"/>
      <c r="I51" s="19"/>
    </row>
    <row r="52" spans="1:9" x14ac:dyDescent="0.2">
      <c r="B52" s="45"/>
      <c r="C52" s="15"/>
      <c r="E52" s="2"/>
      <c r="G52" s="59"/>
      <c r="H52" s="70"/>
      <c r="I52" s="19"/>
    </row>
    <row r="53" spans="1:9" ht="13.8" x14ac:dyDescent="0.3">
      <c r="B53" s="82" t="s">
        <v>242</v>
      </c>
      <c r="C53" s="15"/>
      <c r="D53" s="1" t="s">
        <v>388</v>
      </c>
      <c r="E53" s="2" t="s">
        <v>380</v>
      </c>
      <c r="G53" s="59"/>
      <c r="H53" s="70"/>
      <c r="I53" s="19"/>
    </row>
    <row r="54" spans="1:9" ht="13.8" x14ac:dyDescent="0.3">
      <c r="B54" s="82"/>
      <c r="C54" s="15"/>
      <c r="D54" s="1" t="s">
        <v>389</v>
      </c>
      <c r="E54" s="2" t="s">
        <v>390</v>
      </c>
      <c r="F54" s="1">
        <v>0.20100000000000001</v>
      </c>
      <c r="G54" s="59" t="s">
        <v>67</v>
      </c>
      <c r="H54" s="70">
        <v>6</v>
      </c>
      <c r="I54" s="176">
        <v>0.20100000000000001</v>
      </c>
    </row>
    <row r="55" spans="1:9" ht="13.8" x14ac:dyDescent="0.3">
      <c r="B55" s="45"/>
      <c r="C55" s="15"/>
      <c r="D55" s="1" t="s">
        <v>391</v>
      </c>
      <c r="E55" s="2" t="s">
        <v>380</v>
      </c>
      <c r="G55" s="59" t="s">
        <v>67</v>
      </c>
      <c r="H55" s="70">
        <v>6</v>
      </c>
      <c r="I55" s="19"/>
    </row>
    <row r="56" spans="1:9" x14ac:dyDescent="0.2">
      <c r="B56" s="82"/>
      <c r="C56" s="15"/>
      <c r="E56" s="2"/>
      <c r="G56" s="59"/>
      <c r="H56" s="70"/>
      <c r="I56" s="19"/>
    </row>
    <row r="57" spans="1:9" ht="13.8" x14ac:dyDescent="0.3">
      <c r="B57" s="82" t="s">
        <v>333</v>
      </c>
      <c r="C57" s="15"/>
      <c r="D57" s="1" t="s">
        <v>333</v>
      </c>
      <c r="E57" s="2" t="s">
        <v>380</v>
      </c>
      <c r="G57" s="59"/>
      <c r="H57" s="70"/>
      <c r="I57" s="19"/>
    </row>
    <row r="58" spans="1:9" x14ac:dyDescent="0.2">
      <c r="B58" s="82"/>
      <c r="C58" s="15"/>
      <c r="E58" s="2"/>
      <c r="G58" s="59"/>
      <c r="H58" s="70"/>
      <c r="I58" s="19"/>
    </row>
    <row r="59" spans="1:9" ht="13.8" x14ac:dyDescent="0.3">
      <c r="B59" s="82" t="s">
        <v>337</v>
      </c>
      <c r="C59" s="15"/>
      <c r="D59" s="1" t="s">
        <v>392</v>
      </c>
      <c r="E59" s="2" t="s">
        <v>380</v>
      </c>
      <c r="G59" s="59"/>
      <c r="H59" s="70"/>
      <c r="I59" s="19"/>
    </row>
    <row r="60" spans="1:9" ht="13.8" x14ac:dyDescent="0.3">
      <c r="B60" s="82"/>
      <c r="C60" s="15"/>
      <c r="D60" s="1" t="s">
        <v>393</v>
      </c>
      <c r="E60" s="2" t="s">
        <v>380</v>
      </c>
      <c r="G60" s="59"/>
      <c r="H60" s="70"/>
      <c r="I60" s="19"/>
    </row>
    <row r="61" spans="1:9" x14ac:dyDescent="0.2">
      <c r="B61" s="82"/>
      <c r="C61" s="15"/>
      <c r="E61" s="2"/>
      <c r="G61" s="59"/>
      <c r="H61" s="70"/>
      <c r="I61" s="19"/>
    </row>
    <row r="62" spans="1:9" x14ac:dyDescent="0.2">
      <c r="B62" s="45"/>
      <c r="C62" s="15"/>
      <c r="E62" s="2"/>
      <c r="G62" s="59"/>
      <c r="H62" s="70"/>
      <c r="I62" s="19"/>
    </row>
    <row r="63" spans="1:9" x14ac:dyDescent="0.2">
      <c r="B63" s="45"/>
      <c r="C63" s="15"/>
      <c r="E63" s="2"/>
      <c r="G63" s="59"/>
      <c r="H63" s="70"/>
      <c r="I63" s="19"/>
    </row>
    <row r="64" spans="1:9" s="45" customFormat="1" x14ac:dyDescent="0.2">
      <c r="A64" s="1"/>
      <c r="B64" s="72" t="s">
        <v>646</v>
      </c>
      <c r="E64" s="74"/>
      <c r="G64" s="75"/>
      <c r="H64" s="75"/>
      <c r="I64" s="76"/>
    </row>
    <row r="65" spans="2:10" ht="14.4" x14ac:dyDescent="0.3">
      <c r="B65" s="77"/>
      <c r="C65" s="15"/>
      <c r="D65" s="1" t="s">
        <v>394</v>
      </c>
      <c r="E65" s="2" t="s">
        <v>380</v>
      </c>
      <c r="F65"/>
      <c r="G65" s="59"/>
      <c r="H65" s="70"/>
      <c r="I65" s="19"/>
    </row>
    <row r="66" spans="2:10" ht="14.4" x14ac:dyDescent="0.3">
      <c r="B66" s="77"/>
      <c r="C66" s="15"/>
      <c r="E66" s="2"/>
      <c r="F66"/>
      <c r="G66" s="59"/>
      <c r="H66" s="70"/>
      <c r="I66" s="19"/>
    </row>
    <row r="67" spans="2:10" ht="13.8" x14ac:dyDescent="0.3">
      <c r="B67" s="82" t="s">
        <v>337</v>
      </c>
      <c r="C67" s="15"/>
      <c r="D67" s="1" t="s">
        <v>123</v>
      </c>
      <c r="E67" s="2" t="s">
        <v>380</v>
      </c>
      <c r="F67" s="1">
        <v>0.55000000000000004</v>
      </c>
      <c r="G67" s="59"/>
      <c r="H67" s="70">
        <v>2</v>
      </c>
      <c r="I67" s="176">
        <v>0.55000000000000004</v>
      </c>
    </row>
    <row r="68" spans="2:10" x14ac:dyDescent="0.2">
      <c r="B68" s="45"/>
      <c r="C68" s="15"/>
      <c r="E68" s="2"/>
      <c r="G68" s="59"/>
      <c r="H68" s="70"/>
      <c r="I68" s="19"/>
    </row>
    <row r="69" spans="2:10" x14ac:dyDescent="0.2">
      <c r="B69" s="45"/>
      <c r="C69" s="15"/>
      <c r="E69" s="2"/>
      <c r="G69" s="59"/>
      <c r="H69" s="70"/>
      <c r="I69" s="19"/>
    </row>
    <row r="70" spans="2:10" x14ac:dyDescent="0.2">
      <c r="B70" s="45"/>
      <c r="C70" s="15"/>
      <c r="E70" s="2"/>
      <c r="G70" s="59"/>
      <c r="H70" s="70"/>
      <c r="I70" s="19"/>
    </row>
    <row r="71" spans="2:10" x14ac:dyDescent="0.2">
      <c r="B71" s="45"/>
      <c r="E71" s="2"/>
      <c r="G71" s="59"/>
      <c r="H71" s="70"/>
      <c r="I71" s="19"/>
    </row>
    <row r="72" spans="2:10" x14ac:dyDescent="0.2">
      <c r="B72" s="45"/>
      <c r="E72" s="2"/>
      <c r="G72" s="59"/>
      <c r="H72" s="70"/>
      <c r="I72" s="19"/>
    </row>
    <row r="73" spans="2:10" x14ac:dyDescent="0.2">
      <c r="B73" s="45"/>
      <c r="E73" s="2"/>
      <c r="G73" s="59"/>
      <c r="H73" s="70"/>
      <c r="I73" s="19"/>
    </row>
    <row r="75" spans="2:10" ht="14.4" x14ac:dyDescent="0.3">
      <c r="J75"/>
    </row>
    <row r="76" spans="2:10" ht="14.4" x14ac:dyDescent="0.3">
      <c r="B76" s="55"/>
      <c r="J76"/>
    </row>
    <row r="77" spans="2:10" ht="14.4" x14ac:dyDescent="0.3">
      <c r="B77" s="55"/>
      <c r="J77"/>
    </row>
    <row r="78" spans="2:10" ht="14.4" x14ac:dyDescent="0.3">
      <c r="B78" s="55"/>
      <c r="J78"/>
    </row>
    <row r="79" spans="2:10" ht="14.4" x14ac:dyDescent="0.3">
      <c r="B79" s="55"/>
      <c r="J79"/>
    </row>
    <row r="80" spans="2:10" ht="14.4" x14ac:dyDescent="0.3">
      <c r="B80" s="55"/>
      <c r="J80"/>
    </row>
    <row r="81" spans="2:10" ht="14.4" x14ac:dyDescent="0.3">
      <c r="B81" s="55"/>
      <c r="J81"/>
    </row>
    <row r="82" spans="2:10" ht="14.4" x14ac:dyDescent="0.3">
      <c r="B82" s="55"/>
      <c r="J82"/>
    </row>
    <row r="83" spans="2:10" ht="14.4" x14ac:dyDescent="0.3">
      <c r="F83"/>
    </row>
  </sheetData>
  <phoneticPr fontId="14" type="noConversion"/>
  <dataValidations xWindow="1269" yWindow="515" count="1">
    <dataValidation type="whole" allowBlank="1" showInputMessage="1" showErrorMessage="1" error="Should be value between 1 and 6. " prompt="1 = Primary data from experiments_x000a_2 = Secondary data for similar technology, time &amp; region_x000a_3 = Secondary data for different technology, time &amp; region _x000a_4 = Expert estimate _x000a_5 = Own assumption_x000a_6 = Default value from template" sqref="H10:H22 H65:H73 H24:H63" xr:uid="{00000000-0002-0000-0800-000000000000}">
      <formula1>1</formula1>
      <formula2>6</formula2>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8FA9FAF3-9F3F-4DBA-B4F1-DAA7F1141023}">
            <xm:f>VLOOKUP($D45,'Dropdown list'!$B$6:$C$58,2,FALSE) = 3</xm:f>
            <x14:dxf>
              <fill>
                <patternFill>
                  <bgColor rgb="FFFF0000"/>
                </patternFill>
              </fill>
            </x14:dxf>
          </x14:cfRule>
          <x14:cfRule type="expression" priority="14" id="{6611F14E-DA1E-4C77-ACE0-EEF017ED75EC}">
            <xm:f>VLOOKUP($D45,'Dropdown list'!$B$6:$C$58,2,FALSE) = 2</xm:f>
            <x14:dxf>
              <fill>
                <patternFill>
                  <bgColor theme="5"/>
                </patternFill>
              </fill>
            </x14:dxf>
          </x14:cfRule>
          <x14:cfRule type="expression" priority="15" id="{7A4C757D-ED3B-49F7-884B-154B376AC558}">
            <xm:f>VLOOKUP($D45,'Dropdown list'!$B$6:$C$58,2,FALSE) = 1</xm:f>
            <x14:dxf>
              <fill>
                <patternFill>
                  <bgColor theme="9"/>
                </patternFill>
              </fill>
            </x14:dxf>
          </x14:cfRule>
          <xm:sqref>D45:D47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77"/>
  <sheetViews>
    <sheetView topLeftCell="A2" zoomScaleNormal="100" workbookViewId="0">
      <pane xSplit="1" topLeftCell="B1" activePane="topRight" state="frozen"/>
      <selection pane="topRight" activeCell="T47" sqref="T47"/>
    </sheetView>
  </sheetViews>
  <sheetFormatPr defaultColWidth="9.109375" defaultRowHeight="11.4" x14ac:dyDescent="0.2"/>
  <cols>
    <col min="1" max="1" width="30.6640625" style="1" customWidth="1"/>
    <col min="2" max="2" width="19.109375" style="1" customWidth="1"/>
    <col min="3" max="3" width="12" style="1" customWidth="1"/>
    <col min="4" max="4" width="15.44140625" style="1" customWidth="1"/>
    <col min="5" max="16384" width="9.109375" style="1"/>
  </cols>
  <sheetData>
    <row r="1" spans="1:10" ht="144" customHeight="1" x14ac:dyDescent="0.2"/>
    <row r="4" spans="1:10" ht="19.8" x14ac:dyDescent="0.3">
      <c r="B4" s="3" t="s">
        <v>395</v>
      </c>
    </row>
    <row r="8" spans="1:10" s="9" customFormat="1" x14ac:dyDescent="0.2">
      <c r="A8" s="1"/>
      <c r="B8" s="8" t="s">
        <v>396</v>
      </c>
    </row>
    <row r="10" spans="1:10" x14ac:dyDescent="0.2">
      <c r="C10" s="121" t="s">
        <v>397</v>
      </c>
      <c r="D10" s="121" t="s">
        <v>396</v>
      </c>
    </row>
    <row r="11" spans="1:10" x14ac:dyDescent="0.2">
      <c r="C11" s="2">
        <v>2013</v>
      </c>
      <c r="D11" s="2">
        <v>567.29999999999995</v>
      </c>
    </row>
    <row r="12" spans="1:10" x14ac:dyDescent="0.2">
      <c r="C12" s="2">
        <v>2014</v>
      </c>
      <c r="D12" s="2">
        <v>576.1</v>
      </c>
    </row>
    <row r="13" spans="1:10" x14ac:dyDescent="0.2">
      <c r="C13" s="2">
        <v>2015</v>
      </c>
      <c r="D13" s="2">
        <v>556.79999999999995</v>
      </c>
    </row>
    <row r="14" spans="1:10" x14ac:dyDescent="0.2">
      <c r="C14" s="2">
        <v>2016</v>
      </c>
      <c r="D14" s="2">
        <v>541.70000000000005</v>
      </c>
    </row>
    <row r="15" spans="1:10" x14ac:dyDescent="0.2">
      <c r="C15" s="2">
        <v>2017</v>
      </c>
      <c r="D15" s="2">
        <v>567.5</v>
      </c>
    </row>
    <row r="16" spans="1:10" ht="14.4" x14ac:dyDescent="0.3">
      <c r="C16" s="2">
        <v>2018</v>
      </c>
      <c r="D16" s="2">
        <v>603.1</v>
      </c>
      <c r="J16"/>
    </row>
    <row r="17" spans="1:6" x14ac:dyDescent="0.2">
      <c r="C17" s="2">
        <v>2019</v>
      </c>
      <c r="D17" s="2">
        <v>607.5</v>
      </c>
    </row>
    <row r="18" spans="1:6" ht="14.4" x14ac:dyDescent="0.3">
      <c r="C18" s="2">
        <v>2020</v>
      </c>
      <c r="D18" s="2">
        <v>596.20000000000005</v>
      </c>
      <c r="F18"/>
    </row>
    <row r="19" spans="1:6" ht="14.4" x14ac:dyDescent="0.3">
      <c r="C19" s="2">
        <v>2021</v>
      </c>
      <c r="D19" s="2">
        <v>708</v>
      </c>
      <c r="F19"/>
    </row>
    <row r="20" spans="1:6" ht="14.4" x14ac:dyDescent="0.3">
      <c r="C20" s="2">
        <v>2022</v>
      </c>
      <c r="D20" s="2">
        <v>816</v>
      </c>
      <c r="F20"/>
    </row>
    <row r="21" spans="1:6" ht="14.4" x14ac:dyDescent="0.3">
      <c r="F21"/>
    </row>
    <row r="22" spans="1:6" s="9" customFormat="1" x14ac:dyDescent="0.2">
      <c r="A22" s="1"/>
      <c r="B22" s="8" t="s">
        <v>398</v>
      </c>
    </row>
    <row r="23" spans="1:6" x14ac:dyDescent="0.2">
      <c r="B23" s="50" t="s">
        <v>399</v>
      </c>
    </row>
    <row r="25" spans="1:6" x14ac:dyDescent="0.2">
      <c r="B25" s="206" t="s">
        <v>400</v>
      </c>
      <c r="C25" s="206" t="s">
        <v>401</v>
      </c>
    </row>
    <row r="26" spans="1:6" x14ac:dyDescent="0.2">
      <c r="B26" s="1" t="s">
        <v>402</v>
      </c>
      <c r="C26" s="122">
        <v>1000</v>
      </c>
    </row>
    <row r="27" spans="1:6" x14ac:dyDescent="0.2">
      <c r="D27" s="122"/>
    </row>
    <row r="28" spans="1:6" x14ac:dyDescent="0.2">
      <c r="D28" s="122"/>
    </row>
    <row r="29" spans="1:6" x14ac:dyDescent="0.2">
      <c r="D29" s="122"/>
    </row>
    <row r="30" spans="1:6" s="9" customFormat="1" x14ac:dyDescent="0.2">
      <c r="A30" s="1"/>
      <c r="B30" s="8" t="s">
        <v>403</v>
      </c>
    </row>
    <row r="31" spans="1:6" x14ac:dyDescent="0.2">
      <c r="B31" s="50" t="s">
        <v>404</v>
      </c>
    </row>
    <row r="33" spans="1:4" x14ac:dyDescent="0.2">
      <c r="B33" s="206" t="s">
        <v>147</v>
      </c>
      <c r="C33" s="206" t="s">
        <v>401</v>
      </c>
      <c r="D33" s="206" t="s">
        <v>136</v>
      </c>
    </row>
    <row r="34" spans="1:4" x14ac:dyDescent="0.2">
      <c r="B34" s="1" t="s">
        <v>405</v>
      </c>
      <c r="C34" s="1">
        <v>1.3540000000000001</v>
      </c>
      <c r="D34" s="1" t="s">
        <v>406</v>
      </c>
    </row>
    <row r="35" spans="1:4" x14ac:dyDescent="0.2">
      <c r="B35" s="1" t="s">
        <v>407</v>
      </c>
      <c r="C35" s="1">
        <v>997</v>
      </c>
      <c r="D35" s="1" t="s">
        <v>406</v>
      </c>
    </row>
    <row r="38" spans="1:4" s="9" customFormat="1" x14ac:dyDescent="0.2">
      <c r="A38" s="1"/>
      <c r="B38" s="8" t="s">
        <v>658</v>
      </c>
    </row>
    <row r="42" spans="1:4" x14ac:dyDescent="0.2">
      <c r="C42" s="477" t="s">
        <v>656</v>
      </c>
      <c r="D42" s="477" t="s">
        <v>657</v>
      </c>
    </row>
    <row r="43" spans="1:4" x14ac:dyDescent="0.2">
      <c r="C43" s="121" t="s">
        <v>140</v>
      </c>
      <c r="D43" s="121" t="s">
        <v>344</v>
      </c>
    </row>
    <row r="44" spans="1:4" x14ac:dyDescent="0.2">
      <c r="C44" s="2">
        <v>1</v>
      </c>
      <c r="D44" s="2">
        <v>2100</v>
      </c>
    </row>
    <row r="45" spans="1:4" x14ac:dyDescent="0.2">
      <c r="C45" s="2">
        <v>2.5</v>
      </c>
      <c r="D45" s="2">
        <v>1400</v>
      </c>
    </row>
    <row r="46" spans="1:4" x14ac:dyDescent="0.2">
      <c r="C46" s="2">
        <v>50</v>
      </c>
      <c r="D46" s="2">
        <v>800</v>
      </c>
    </row>
    <row r="47" spans="1:4" x14ac:dyDescent="0.2">
      <c r="C47" s="2">
        <v>70</v>
      </c>
      <c r="D47" s="2">
        <v>800</v>
      </c>
    </row>
    <row r="48" spans="1:4" x14ac:dyDescent="0.2">
      <c r="C48" s="2">
        <v>100</v>
      </c>
      <c r="D48" s="2">
        <v>800</v>
      </c>
    </row>
    <row r="53" spans="1:4" x14ac:dyDescent="0.2">
      <c r="C53" s="1" t="s">
        <v>659</v>
      </c>
      <c r="D53" s="147">
        <v>1895</v>
      </c>
    </row>
    <row r="54" spans="1:4" x14ac:dyDescent="0.2">
      <c r="C54" s="1" t="s">
        <v>660</v>
      </c>
      <c r="D54" s="147">
        <v>-0.20399999999999999</v>
      </c>
    </row>
    <row r="61" spans="1:4" s="9" customFormat="1" x14ac:dyDescent="0.2">
      <c r="A61" s="1"/>
      <c r="B61" s="8" t="s">
        <v>661</v>
      </c>
    </row>
    <row r="65" spans="3:4" x14ac:dyDescent="0.2">
      <c r="C65" s="477" t="s">
        <v>656</v>
      </c>
      <c r="D65" s="477" t="s">
        <v>657</v>
      </c>
    </row>
    <row r="66" spans="3:4" x14ac:dyDescent="0.2">
      <c r="C66" s="121" t="s">
        <v>140</v>
      </c>
      <c r="D66" s="121" t="s">
        <v>344</v>
      </c>
    </row>
    <row r="67" spans="3:4" x14ac:dyDescent="0.2">
      <c r="C67" s="2">
        <v>0.5</v>
      </c>
      <c r="D67" s="2">
        <v>2000</v>
      </c>
    </row>
    <row r="68" spans="3:4" x14ac:dyDescent="0.2">
      <c r="C68" s="2">
        <v>1</v>
      </c>
      <c r="D68" s="2">
        <v>1800</v>
      </c>
    </row>
    <row r="69" spans="3:4" x14ac:dyDescent="0.2">
      <c r="C69" s="2">
        <v>20</v>
      </c>
      <c r="D69" s="2">
        <v>550</v>
      </c>
    </row>
    <row r="70" spans="3:4" x14ac:dyDescent="0.2">
      <c r="C70" s="2">
        <v>40</v>
      </c>
      <c r="D70" s="2">
        <v>300</v>
      </c>
    </row>
    <row r="71" spans="3:4" x14ac:dyDescent="0.2">
      <c r="C71" s="2">
        <v>100</v>
      </c>
      <c r="D71" s="2">
        <v>300</v>
      </c>
    </row>
    <row r="76" spans="3:4" x14ac:dyDescent="0.2">
      <c r="C76" s="1" t="s">
        <v>659</v>
      </c>
      <c r="D76" s="147">
        <v>1633</v>
      </c>
    </row>
    <row r="77" spans="3:4" x14ac:dyDescent="0.2">
      <c r="C77" s="1" t="s">
        <v>660</v>
      </c>
      <c r="D77" s="147">
        <v>-0.39400000000000002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I322"/>
  <sheetViews>
    <sheetView topLeftCell="A137" zoomScaleNormal="100" workbookViewId="0">
      <pane xSplit="1" topLeftCell="B1" activePane="topRight" state="frozen"/>
      <selection pane="topRight" activeCell="E152" sqref="E152"/>
    </sheetView>
  </sheetViews>
  <sheetFormatPr defaultColWidth="9.109375" defaultRowHeight="11.4" x14ac:dyDescent="0.2"/>
  <cols>
    <col min="1" max="1" width="30.6640625" style="1" customWidth="1"/>
    <col min="2" max="2" width="40.6640625" style="1" customWidth="1"/>
    <col min="3" max="3" width="23.109375" style="1" customWidth="1"/>
    <col min="4" max="4" width="40.6640625" style="1" customWidth="1"/>
    <col min="5" max="113" width="20.6640625" style="1" customWidth="1"/>
    <col min="114" max="16384" width="9.109375" style="1"/>
  </cols>
  <sheetData>
    <row r="1" spans="1:14" ht="144" customHeight="1" x14ac:dyDescent="0.2"/>
    <row r="4" spans="1:14" ht="19.8" x14ac:dyDescent="0.3">
      <c r="B4" s="43" t="str">
        <f>'Pathway definition and results'!E13</f>
        <v xml:space="preserve">1. Pathway 1 </v>
      </c>
    </row>
    <row r="6" spans="1:14" s="14" customFormat="1" x14ac:dyDescent="0.2">
      <c r="A6" s="1"/>
      <c r="B6" s="17" t="s">
        <v>408</v>
      </c>
    </row>
    <row r="8" spans="1:14" x14ac:dyDescent="0.2">
      <c r="B8" s="6"/>
    </row>
    <row r="9" spans="1:14" ht="45" customHeight="1" x14ac:dyDescent="0.2">
      <c r="B9" s="12"/>
      <c r="C9" s="12"/>
      <c r="D9" s="12"/>
      <c r="E9" s="12"/>
      <c r="F9" s="12"/>
      <c r="G9" s="12"/>
      <c r="H9" s="12"/>
      <c r="I9" s="12"/>
      <c r="J9" s="12"/>
    </row>
    <row r="10" spans="1:14" x14ac:dyDescent="0.2">
      <c r="M10" s="1" t="s">
        <v>409</v>
      </c>
      <c r="N10" s="1" t="str">
        <f>IF('Pathway definition and results'!E23=0,"PEM Electrolyser","Alkaline Electrolyser") &amp; CHAR(10) &amp; CHAR(10) &amp; "Installed power:" &amp; " " &amp; IF('Pathway definition and results'!E23=1,ROUNDUP('1. Pathway 1'!E42,0),ROUNDUP('1. Pathway 1'!E27,0)) &amp; " " &amp; F27 &amp; CHAR(10) &amp; "Pressure: " &amp; IF('Pathway definition and results'!E23=1,ROUNDUP('Data - technical'!I39,0),ROUNDUP('Data - technical'!I23,0)) &amp; " " &amp;'Data - technical'!E23</f>
        <v>PEM Electrolyser
Installed power: 7 MW
Pressure: 30 bar</v>
      </c>
    </row>
    <row r="11" spans="1:14" x14ac:dyDescent="0.2">
      <c r="M11" s="1" t="s">
        <v>151</v>
      </c>
      <c r="N11" s="1" t="str">
        <f>"Electricity: " &amp; IF('Pathway definition and results'!E23=1,ROUNDUP('1. Pathway 1'!E40,0),ROUNDUP('1. Pathway 1'!E25,0)) &amp; " " &amp; '1. Pathway 1'!F25</f>
        <v>Electricity: 55000 MWh/yr</v>
      </c>
    </row>
    <row r="12" spans="1:14" x14ac:dyDescent="0.2">
      <c r="M12" s="1" t="s">
        <v>149</v>
      </c>
      <c r="N12" s="1" t="str">
        <f>"Water: " &amp; IF('Pathway definition and results'!E23=1,ROUNDUP('1. Pathway 1'!E45,0),ROUNDUP('1. Pathway 1'!E30,0)) &amp; " " &amp; '1. Pathway 1'!F30</f>
        <v>Water: 16837 m³/yr</v>
      </c>
    </row>
    <row r="13" spans="1:14" x14ac:dyDescent="0.2">
      <c r="M13" s="1" t="s">
        <v>82</v>
      </c>
      <c r="N13" s="1" t="str">
        <f>"Hydrogen: "&amp;IF('Pathway definition and results'!E23=1,ROUNDUP(E47/1000000,1),ROUNDUP(E32/1000000,1))&amp;" "&amp; "million" &amp; " " &amp; F32</f>
        <v>Hydrogen: 11.3 million m³/yr</v>
      </c>
    </row>
    <row r="14" spans="1:14" x14ac:dyDescent="0.2">
      <c r="M14" s="1" t="s">
        <v>123</v>
      </c>
      <c r="N14" s="1" t="str">
        <f>"Oxygen: "&amp;IF('Pathway definition and results'!E23=1,ROUNDUP('1. Pathway 1'!E50/1000000,1),ROUNDUP('1. Pathway 1'!E35/1000000,1))&amp;" "&amp; "million" &amp; " " &amp; '1. Pathway 1'!F35</f>
        <v>Oxygen: 5.5 million m³/yr</v>
      </c>
    </row>
    <row r="15" spans="1:14" ht="14.4" x14ac:dyDescent="0.3">
      <c r="J15"/>
      <c r="M15" s="1" t="s">
        <v>207</v>
      </c>
      <c r="N15" s="1" t="str">
        <f>"Waste water: " &amp; IF('Pathway definition and results'!E23=1,ROUNDUP('1. Pathway 1'!E52,0),ROUNDUP('1. Pathway 1'!E37,0)) &amp; " " &amp; '1. Pathway 1'!F37</f>
        <v>Waste water: 5613 m³/yr</v>
      </c>
    </row>
    <row r="17" spans="2:14" ht="14.4" x14ac:dyDescent="0.3">
      <c r="F17"/>
      <c r="M17" s="1" t="s">
        <v>410</v>
      </c>
      <c r="N17" s="1" t="str">
        <f>"H2 compressor" &amp; CHAR(10) &amp; CHAR(10) &amp; "Pressure: " &amp; ROUNDUP('Data - technical'!I51,0) &amp; " " &amp; 'Data - technical'!E51</f>
        <v>H2 compressor
Pressure: 200 bar</v>
      </c>
    </row>
    <row r="18" spans="2:14" x14ac:dyDescent="0.2">
      <c r="M18" s="1" t="s">
        <v>151</v>
      </c>
      <c r="N18" s="1" t="str">
        <f>"Electricity: " &amp; ROUNDUP(E58,0) &amp; " " &amp; F58</f>
        <v>Electricity: 3996 MWh/yr</v>
      </c>
    </row>
    <row r="20" spans="2:14" x14ac:dyDescent="0.2">
      <c r="M20" s="1" t="s">
        <v>411</v>
      </c>
      <c r="N20" s="1" t="str">
        <f>"H2 storage" &amp; CHAR(10) &amp; CHAR(10) &amp; "Storage size: " &amp; ROUNDUP('Data - technical'!I59,0) &amp; " " &amp; 'Data - technical'!J59 &amp; CHAR(10) &amp; "Storage capacity: " &amp; ROUNDUP('1. Pathway 1'!E64,0) &amp; " " &amp; '1. Pathway 1'!F64</f>
        <v>H2 storage
Storage size: 24 
Storage capacity: 2997 kg</v>
      </c>
    </row>
    <row r="22" spans="2:14" ht="15" customHeight="1" x14ac:dyDescent="0.2">
      <c r="B22" s="238" t="s">
        <v>412</v>
      </c>
      <c r="C22" s="239"/>
      <c r="D22" s="239"/>
      <c r="E22" s="239"/>
      <c r="F22" s="239"/>
      <c r="G22" s="239"/>
      <c r="H22" s="240"/>
      <c r="I22" s="546"/>
      <c r="J22" s="547"/>
    </row>
    <row r="23" spans="2:14" x14ac:dyDescent="0.2">
      <c r="B23" s="28" t="s">
        <v>20</v>
      </c>
      <c r="C23" s="28" t="s">
        <v>147</v>
      </c>
      <c r="D23" s="241"/>
      <c r="E23" s="242" t="s">
        <v>401</v>
      </c>
      <c r="F23" s="243" t="s">
        <v>413</v>
      </c>
      <c r="G23" s="242" t="s">
        <v>401</v>
      </c>
      <c r="H23" s="243" t="s">
        <v>414</v>
      </c>
      <c r="I23" s="542" t="s">
        <v>415</v>
      </c>
      <c r="J23" s="543"/>
    </row>
    <row r="24" spans="2:14" x14ac:dyDescent="0.2">
      <c r="B24" s="24"/>
      <c r="C24" s="24"/>
      <c r="D24" s="25"/>
      <c r="E24" s="26"/>
      <c r="F24" s="27"/>
      <c r="G24" s="38"/>
      <c r="H24" s="25"/>
      <c r="I24" s="544"/>
      <c r="J24" s="545"/>
    </row>
    <row r="25" spans="2:14" x14ac:dyDescent="0.2">
      <c r="B25" s="29" t="s">
        <v>416</v>
      </c>
      <c r="C25" s="30" t="s">
        <v>148</v>
      </c>
      <c r="D25" s="23" t="s">
        <v>199</v>
      </c>
      <c r="E25" s="31">
        <f>IF('Pathway definition and results'!E23=0,IF('Pathway definition and results'!E21=0,'Pathway definition and results'!E14,'1. Pathway 1'!E27*'Data - technical'!I24),0)</f>
        <v>55000</v>
      </c>
      <c r="F25" s="32" t="s">
        <v>138</v>
      </c>
      <c r="G25" s="160">
        <f>E25/($E$34/1000)</f>
        <v>55.056179775280903</v>
      </c>
      <c r="H25" s="2" t="str">
        <f>"MWh/" &amp; IF(Technology!$C$32="","FU",Technology!$C$32)</f>
        <v>MWh/ton H2</v>
      </c>
      <c r="I25" s="250"/>
      <c r="J25" s="251"/>
    </row>
    <row r="26" spans="2:14" x14ac:dyDescent="0.2">
      <c r="B26" s="29"/>
      <c r="C26" s="30"/>
      <c r="D26" s="23"/>
      <c r="E26" s="31"/>
      <c r="F26" s="32"/>
      <c r="G26" s="160">
        <f>G25*1000</f>
        <v>55056.1797752809</v>
      </c>
      <c r="H26" s="2" t="str">
        <f>"kWh/" &amp; IF(Technology!$C$32="","FU",Technology!$C$32)</f>
        <v>kWh/ton H2</v>
      </c>
      <c r="J26" s="42"/>
    </row>
    <row r="27" spans="2:14" x14ac:dyDescent="0.2">
      <c r="B27" s="28"/>
      <c r="C27" s="30"/>
      <c r="D27" s="23" t="s">
        <v>417</v>
      </c>
      <c r="E27" s="33">
        <f>IF('Pathway definition and results'!E23=0,IF('Pathway definition and results'!E21=0,'1. Pathway 1'!E25/'Data - technical'!I24,'Pathway definition and results'!E15),0)</f>
        <v>6.875</v>
      </c>
      <c r="F27" s="32" t="s">
        <v>140</v>
      </c>
      <c r="G27" s="160"/>
      <c r="H27" s="2"/>
      <c r="J27" s="42"/>
    </row>
    <row r="28" spans="2:14" x14ac:dyDescent="0.2">
      <c r="B28" s="28"/>
      <c r="C28" s="30"/>
      <c r="D28" s="23" t="s">
        <v>418</v>
      </c>
      <c r="E28" s="33">
        <f>ROUNDUP((E27*1000)/'Data - technical'!I25,0)</f>
        <v>5</v>
      </c>
      <c r="F28" s="32" t="s">
        <v>419</v>
      </c>
      <c r="G28" s="160"/>
      <c r="H28" s="2"/>
      <c r="J28" s="42"/>
    </row>
    <row r="29" spans="2:14" x14ac:dyDescent="0.2">
      <c r="B29" s="28"/>
      <c r="C29" s="30"/>
      <c r="D29" s="23" t="s">
        <v>420</v>
      </c>
      <c r="E29" s="33">
        <f>IF('Pathway definition and results'!E23=0,(E27*1000)/E28,0)</f>
        <v>1375</v>
      </c>
      <c r="F29" s="32" t="s">
        <v>421</v>
      </c>
      <c r="G29" s="160"/>
      <c r="H29" s="2"/>
      <c r="J29" s="42"/>
    </row>
    <row r="30" spans="2:14" x14ac:dyDescent="0.2">
      <c r="B30" s="28"/>
      <c r="C30" s="30"/>
      <c r="D30" s="23" t="s">
        <v>422</v>
      </c>
      <c r="E30" s="33">
        <f>IF('Pathway definition and results'!E23=0,'Data - technical'!I16*'1. Pathway 1'!E32/1000,0)</f>
        <v>16836.734693877548</v>
      </c>
      <c r="F30" s="32" t="s">
        <v>150</v>
      </c>
      <c r="G30" s="160">
        <f>E30/($E$34/1000)</f>
        <v>16.853932584269661</v>
      </c>
      <c r="H30" s="2" t="str">
        <f>"m³/" &amp; IF(Technology!$C$32="","FU",Technology!$C$32)</f>
        <v>m³/ton H2</v>
      </c>
      <c r="J30" s="42"/>
    </row>
    <row r="31" spans="2:14" x14ac:dyDescent="0.2">
      <c r="B31" s="28"/>
      <c r="C31" s="30"/>
      <c r="D31" s="23"/>
      <c r="E31" s="33">
        <f>E30*'Data - general'!C35</f>
        <v>16786224.489795916</v>
      </c>
      <c r="F31" s="32" t="s">
        <v>423</v>
      </c>
      <c r="G31" s="160">
        <f>E31/($E$34/1000)</f>
        <v>16803.370786516854</v>
      </c>
      <c r="H31" s="2" t="str">
        <f>"kg/" &amp; IF(Technology!$C$32="","FU",Technology!$C$32)</f>
        <v>kg/ton H2</v>
      </c>
      <c r="J31" s="42"/>
    </row>
    <row r="32" spans="2:14" x14ac:dyDescent="0.2">
      <c r="B32" s="28"/>
      <c r="C32" s="30" t="s">
        <v>152</v>
      </c>
      <c r="D32" s="23" t="s">
        <v>82</v>
      </c>
      <c r="E32" s="33">
        <f>IF('Pathway definition and results'!E23=0,('1. Pathway 1'!E25*1000)/'Data - technical'!I20,0)</f>
        <v>11224489.795918366</v>
      </c>
      <c r="F32" s="32" t="s">
        <v>150</v>
      </c>
      <c r="G32" s="160"/>
      <c r="H32" s="2"/>
      <c r="J32" s="42"/>
    </row>
    <row r="33" spans="2:10" x14ac:dyDescent="0.2">
      <c r="B33" s="28"/>
      <c r="C33" s="30"/>
      <c r="D33" s="23"/>
      <c r="E33" s="33">
        <f>IF('Pathway definition and results'!E23=0,E32/'Data - technical'!I24,0)</f>
        <v>1403.0612244897957</v>
      </c>
      <c r="F33" s="32" t="s">
        <v>424</v>
      </c>
      <c r="G33" s="160"/>
      <c r="H33" s="2"/>
      <c r="J33" s="42"/>
    </row>
    <row r="34" spans="2:10" x14ac:dyDescent="0.2">
      <c r="B34" s="28"/>
      <c r="C34" s="30"/>
      <c r="D34" s="23"/>
      <c r="E34" s="33">
        <f>E32*0.089</f>
        <v>998979.59183673456</v>
      </c>
      <c r="F34" s="2" t="s">
        <v>423</v>
      </c>
      <c r="G34" s="160"/>
      <c r="H34" s="2"/>
      <c r="J34" s="42"/>
    </row>
    <row r="35" spans="2:10" x14ac:dyDescent="0.2">
      <c r="B35" s="28"/>
      <c r="C35" s="30"/>
      <c r="D35" s="23" t="s">
        <v>123</v>
      </c>
      <c r="E35" s="33">
        <f>IF('Pathway definition and results'!E23=0,'Data - technical'!I17*'1. Pathway 1'!E25*1000,0)</f>
        <v>5500000</v>
      </c>
      <c r="F35" s="2" t="s">
        <v>150</v>
      </c>
      <c r="G35" s="160">
        <f>E35/($E$34/1000)</f>
        <v>5505.6179775280907</v>
      </c>
      <c r="H35" s="2" t="str">
        <f>"m³/" &amp; IF(Technology!$C$32="","FU",Technology!$C$32)</f>
        <v>m³/ton H2</v>
      </c>
      <c r="J35" s="42"/>
    </row>
    <row r="36" spans="2:10" x14ac:dyDescent="0.2">
      <c r="B36" s="28"/>
      <c r="C36" s="30"/>
      <c r="D36" s="23"/>
      <c r="E36" s="33">
        <f>E35*'Data - general'!C34</f>
        <v>7447000.0000000009</v>
      </c>
      <c r="F36" s="2" t="s">
        <v>423</v>
      </c>
      <c r="G36" s="160">
        <f>E36/($E$34/1000)</f>
        <v>7454.6067415730358</v>
      </c>
      <c r="H36" s="2" t="str">
        <f>"kg/" &amp; IF(Technology!$C$32="","FU",Technology!$C$32)</f>
        <v>kg/ton H2</v>
      </c>
      <c r="J36" s="42"/>
    </row>
    <row r="37" spans="2:10" x14ac:dyDescent="0.2">
      <c r="B37" s="28"/>
      <c r="C37" s="30"/>
      <c r="D37" s="23" t="s">
        <v>207</v>
      </c>
      <c r="E37" s="33">
        <f>IF('Pathway definition and results'!E23=0,'Data - technical'!I18*'1. Pathway 1'!E32/1000,0)</f>
        <v>5612.2448979591827</v>
      </c>
      <c r="F37" s="2" t="s">
        <v>150</v>
      </c>
      <c r="G37" s="160">
        <f>E37/($E$34/1000)</f>
        <v>5.6179775280898872</v>
      </c>
      <c r="H37" s="2" t="str">
        <f>"m³/" &amp; IF(Technology!$C$32="","FU",Technology!$C$32)</f>
        <v>m³/ton H2</v>
      </c>
      <c r="J37" s="42"/>
    </row>
    <row r="38" spans="2:10" x14ac:dyDescent="0.2">
      <c r="B38" s="28"/>
      <c r="C38" s="34"/>
      <c r="D38" s="23"/>
      <c r="E38" s="33"/>
      <c r="F38" s="32"/>
      <c r="H38" s="32"/>
      <c r="J38" s="42"/>
    </row>
    <row r="39" spans="2:10" x14ac:dyDescent="0.2">
      <c r="B39" s="28"/>
      <c r="C39" s="28"/>
      <c r="D39" s="35"/>
      <c r="E39" s="36"/>
      <c r="F39" s="37"/>
      <c r="G39" s="14"/>
      <c r="H39" s="37"/>
      <c r="I39" s="14"/>
      <c r="J39" s="249"/>
    </row>
    <row r="40" spans="2:10" x14ac:dyDescent="0.2">
      <c r="B40" s="29" t="s">
        <v>425</v>
      </c>
      <c r="C40" s="30" t="s">
        <v>148</v>
      </c>
      <c r="D40" s="23" t="s">
        <v>199</v>
      </c>
      <c r="E40" s="31">
        <f>IF('Pathway definition and results'!E23=1,IF('Pathway definition and results'!E21=0,'Pathway definition and results'!E14,'1. Pathway 1'!E42*'Data - technical'!I40),0)</f>
        <v>0</v>
      </c>
      <c r="F40" s="32" t="s">
        <v>138</v>
      </c>
      <c r="G40" s="160" t="e">
        <f>E40/($E$49/1000)</f>
        <v>#DIV/0!</v>
      </c>
      <c r="H40" s="2" t="str">
        <f>"MWh/" &amp; IF(Technology!$C$32="","FU",Technology!$C$32)</f>
        <v>MWh/ton H2</v>
      </c>
      <c r="J40" s="42"/>
    </row>
    <row r="41" spans="2:10" x14ac:dyDescent="0.2">
      <c r="B41" s="29"/>
      <c r="C41" s="30"/>
      <c r="D41" s="23"/>
      <c r="E41" s="31"/>
      <c r="F41" s="32"/>
      <c r="G41" s="160" t="e">
        <f>G40*1000</f>
        <v>#DIV/0!</v>
      </c>
      <c r="H41" s="2" t="str">
        <f>"kWh/" &amp; IF(Technology!$C$32="","FU",Technology!$C$32)</f>
        <v>kWh/ton H2</v>
      </c>
      <c r="J41" s="42"/>
    </row>
    <row r="42" spans="2:10" x14ac:dyDescent="0.2">
      <c r="B42" s="28"/>
      <c r="C42" s="30"/>
      <c r="D42" s="23" t="s">
        <v>417</v>
      </c>
      <c r="E42" s="33">
        <f>IF('Pathway definition and results'!E23=1,IF('Pathway definition and results'!E21=0,'1. Pathway 1'!E40/'Data - technical'!I40,'Pathway definition and results'!E15),0)</f>
        <v>0</v>
      </c>
      <c r="F42" s="32" t="s">
        <v>140</v>
      </c>
      <c r="G42" s="160"/>
      <c r="H42" s="2"/>
      <c r="J42" s="42"/>
    </row>
    <row r="43" spans="2:10" x14ac:dyDescent="0.2">
      <c r="B43" s="28"/>
      <c r="C43" s="30"/>
      <c r="D43" s="23" t="s">
        <v>418</v>
      </c>
      <c r="E43" s="33">
        <f>ROUNDUP((E42*1000)/'Data - technical'!I41,0)</f>
        <v>0</v>
      </c>
      <c r="F43" s="32" t="s">
        <v>419</v>
      </c>
      <c r="G43" s="160"/>
      <c r="H43" s="2"/>
      <c r="J43" s="42"/>
    </row>
    <row r="44" spans="2:10" x14ac:dyDescent="0.2">
      <c r="B44" s="28"/>
      <c r="C44" s="30"/>
      <c r="D44" s="23" t="s">
        <v>420</v>
      </c>
      <c r="E44" s="33">
        <f>IF('Pathway definition and results'!E23=1,(E42*1000)/E43,0)</f>
        <v>0</v>
      </c>
      <c r="F44" s="32" t="s">
        <v>421</v>
      </c>
      <c r="G44" s="160"/>
      <c r="H44" s="2"/>
      <c r="J44" s="42"/>
    </row>
    <row r="45" spans="2:10" x14ac:dyDescent="0.2">
      <c r="B45" s="28"/>
      <c r="C45" s="30"/>
      <c r="D45" s="23" t="s">
        <v>422</v>
      </c>
      <c r="E45" s="33">
        <f>IF('Pathway definition and results'!E23=1,'Data - technical'!I31*'1. Pathway 1'!E47/1000,0)</f>
        <v>0</v>
      </c>
      <c r="F45" s="32" t="s">
        <v>150</v>
      </c>
      <c r="G45" s="160" t="e">
        <f>E45/($E$49/1000)</f>
        <v>#DIV/0!</v>
      </c>
      <c r="H45" s="2" t="str">
        <f>"m³/" &amp; IF(Technology!$C$32="","FU",Technology!$C$32)</f>
        <v>m³/ton H2</v>
      </c>
      <c r="J45" s="42"/>
    </row>
    <row r="46" spans="2:10" x14ac:dyDescent="0.2">
      <c r="B46" s="28"/>
      <c r="C46" s="30"/>
      <c r="D46" s="23"/>
      <c r="E46" s="33">
        <f>E45*'Data - general'!C35</f>
        <v>0</v>
      </c>
      <c r="F46" s="32" t="s">
        <v>423</v>
      </c>
      <c r="G46" s="160" t="e">
        <f>E46/($E$49/1000)</f>
        <v>#DIV/0!</v>
      </c>
      <c r="H46" s="2" t="str">
        <f>"kg/" &amp; IF(Technology!$C$32="","FU",Technology!$C$32)</f>
        <v>kg/ton H2</v>
      </c>
      <c r="J46" s="42"/>
    </row>
    <row r="47" spans="2:10" x14ac:dyDescent="0.2">
      <c r="B47" s="28"/>
      <c r="C47" s="30" t="s">
        <v>152</v>
      </c>
      <c r="D47" s="23" t="s">
        <v>82</v>
      </c>
      <c r="E47" s="33">
        <f>IF('Pathway definition and results'!E23=1,('1. Pathway 1'!E40*1000)/'Data - technical'!I36,0)</f>
        <v>0</v>
      </c>
      <c r="F47" s="32" t="s">
        <v>150</v>
      </c>
      <c r="G47" s="160"/>
      <c r="H47" s="2"/>
      <c r="J47" s="42"/>
    </row>
    <row r="48" spans="2:10" x14ac:dyDescent="0.2">
      <c r="B48" s="28"/>
      <c r="C48" s="30"/>
      <c r="D48" s="23"/>
      <c r="E48" s="33">
        <f>IF('Pathway definition and results'!E23=1,E47/'Data - technical'!I40,0)</f>
        <v>0</v>
      </c>
      <c r="F48" s="32" t="s">
        <v>424</v>
      </c>
      <c r="G48" s="160"/>
      <c r="H48" s="2"/>
      <c r="J48" s="42"/>
    </row>
    <row r="49" spans="2:10" x14ac:dyDescent="0.2">
      <c r="B49" s="28"/>
      <c r="C49" s="30"/>
      <c r="D49" s="23"/>
      <c r="E49" s="33">
        <f>E47*0.089</f>
        <v>0</v>
      </c>
      <c r="F49" s="2" t="s">
        <v>423</v>
      </c>
      <c r="G49" s="160"/>
      <c r="H49" s="2"/>
      <c r="J49" s="42"/>
    </row>
    <row r="50" spans="2:10" x14ac:dyDescent="0.2">
      <c r="B50" s="28"/>
      <c r="C50" s="30"/>
      <c r="D50" s="23" t="s">
        <v>123</v>
      </c>
      <c r="E50" s="33">
        <f>IF('Pathway definition and results'!E23=1,'Data - technical'!I33*'1. Pathway 1'!E40*1000,0)</f>
        <v>0</v>
      </c>
      <c r="F50" s="2" t="s">
        <v>150</v>
      </c>
      <c r="G50" s="160" t="e">
        <f>E50/($E$49/1000)</f>
        <v>#DIV/0!</v>
      </c>
      <c r="H50" s="2" t="str">
        <f>"m³/" &amp; IF(Technology!$C$32="","FU",Technology!$C$32)</f>
        <v>m³/ton H2</v>
      </c>
      <c r="J50" s="42"/>
    </row>
    <row r="51" spans="2:10" x14ac:dyDescent="0.2">
      <c r="B51" s="28"/>
      <c r="C51" s="30"/>
      <c r="D51" s="23"/>
      <c r="E51" s="33">
        <f>E50*'Data - general'!C34</f>
        <v>0</v>
      </c>
      <c r="F51" s="2" t="s">
        <v>423</v>
      </c>
      <c r="G51" s="160" t="e">
        <f>E51/($E$49/1000)</f>
        <v>#DIV/0!</v>
      </c>
      <c r="H51" s="2" t="str">
        <f>"kg/" &amp; IF(Technology!$C$32="","FU",Technology!$C$32)</f>
        <v>kg/ton H2</v>
      </c>
      <c r="J51" s="42"/>
    </row>
    <row r="52" spans="2:10" x14ac:dyDescent="0.2">
      <c r="B52" s="28"/>
      <c r="C52" s="30"/>
      <c r="D52" s="23" t="s">
        <v>207</v>
      </c>
      <c r="E52" s="33">
        <f>IF('Pathway definition and results'!E23=1,'Data - technical'!I34*'1. Pathway 1'!E47/1000,0)</f>
        <v>0</v>
      </c>
      <c r="F52" s="2" t="s">
        <v>150</v>
      </c>
      <c r="G52" s="160" t="e">
        <f>E52/($E$49/1000)</f>
        <v>#DIV/0!</v>
      </c>
      <c r="H52" s="2" t="str">
        <f>"m³/" &amp; IF(Technology!$C$32="","FU",Technology!$C$32)</f>
        <v>m³/ton H2</v>
      </c>
      <c r="J52" s="42"/>
    </row>
    <row r="53" spans="2:10" x14ac:dyDescent="0.2">
      <c r="B53" s="28"/>
      <c r="C53" s="34"/>
      <c r="D53" s="23"/>
      <c r="E53" s="33"/>
      <c r="F53" s="32"/>
      <c r="H53" s="32"/>
      <c r="J53" s="42"/>
    </row>
    <row r="54" spans="2:10" x14ac:dyDescent="0.2">
      <c r="B54" s="28"/>
      <c r="C54" s="28"/>
      <c r="D54" s="35"/>
      <c r="E54" s="36"/>
      <c r="F54" s="37"/>
      <c r="G54" s="14"/>
      <c r="H54" s="37"/>
      <c r="I54" s="14"/>
      <c r="J54" s="249"/>
    </row>
    <row r="55" spans="2:10" ht="13.8" x14ac:dyDescent="0.3">
      <c r="B55" s="29" t="s">
        <v>426</v>
      </c>
      <c r="C55" s="30" t="s">
        <v>148</v>
      </c>
      <c r="D55" s="23" t="s">
        <v>427</v>
      </c>
      <c r="E55" s="31">
        <f>IF('Pathway definition and results'!E23=0,'1. Pathway 1'!E34,'1. Pathway 1'!E49)</f>
        <v>998979.59183673456</v>
      </c>
      <c r="F55" s="32" t="s">
        <v>423</v>
      </c>
      <c r="G55" s="2"/>
      <c r="H55" s="32"/>
      <c r="J55" s="42"/>
    </row>
    <row r="56" spans="2:10" x14ac:dyDescent="0.2">
      <c r="B56" s="29"/>
      <c r="C56" s="30"/>
      <c r="D56" s="23"/>
      <c r="E56" s="31">
        <f>E55/'Data - technical'!I52</f>
        <v>124.87244897959182</v>
      </c>
      <c r="F56" s="32" t="s">
        <v>428</v>
      </c>
      <c r="G56" s="2"/>
      <c r="H56" s="32"/>
      <c r="J56" s="42"/>
    </row>
    <row r="57" spans="2:10" x14ac:dyDescent="0.2">
      <c r="B57" s="29"/>
      <c r="C57" s="30"/>
      <c r="D57" s="23" t="s">
        <v>429</v>
      </c>
      <c r="E57" s="31">
        <f>IF('Pathway definition and results'!E23=0,'Data - technical'!I23,'Data - technical'!I39)</f>
        <v>30</v>
      </c>
      <c r="F57" s="32" t="s">
        <v>219</v>
      </c>
      <c r="G57" s="2"/>
      <c r="H57" s="32"/>
      <c r="J57" s="42"/>
    </row>
    <row r="58" spans="2:10" x14ac:dyDescent="0.2">
      <c r="B58" s="29"/>
      <c r="D58" s="23" t="s">
        <v>151</v>
      </c>
      <c r="E58" s="33">
        <f>E55*'Data - technical'!I50/1000</f>
        <v>3995.9183673469383</v>
      </c>
      <c r="F58" s="32" t="s">
        <v>138</v>
      </c>
      <c r="G58" s="2">
        <f>E58/((E34+E49)/1000)</f>
        <v>4</v>
      </c>
      <c r="H58" s="2" t="str">
        <f>"MWh/" &amp; IF(Technology!$C$32="","FU",Technology!$C$32)</f>
        <v>MWh/ton H2</v>
      </c>
      <c r="J58" s="42"/>
    </row>
    <row r="59" spans="2:10" x14ac:dyDescent="0.2">
      <c r="B59" s="29"/>
      <c r="D59" s="23"/>
      <c r="E59" s="33"/>
      <c r="F59" s="32"/>
      <c r="G59" s="122">
        <f>G58*1000</f>
        <v>4000</v>
      </c>
      <c r="H59" s="2" t="str">
        <f>"kWh/" &amp; IF(Technology!$C$32="","FU",Technology!$C$32)</f>
        <v>kWh/ton H2</v>
      </c>
      <c r="J59" s="42"/>
    </row>
    <row r="60" spans="2:10" x14ac:dyDescent="0.2">
      <c r="B60" s="29"/>
      <c r="C60" s="30" t="s">
        <v>152</v>
      </c>
      <c r="D60" s="23" t="s">
        <v>427</v>
      </c>
      <c r="E60" s="33">
        <f>E55</f>
        <v>998979.59183673456</v>
      </c>
      <c r="F60" s="32" t="s">
        <v>423</v>
      </c>
      <c r="G60" s="2"/>
      <c r="H60" s="32"/>
      <c r="J60" s="42"/>
    </row>
    <row r="61" spans="2:10" x14ac:dyDescent="0.2">
      <c r="B61" s="29"/>
      <c r="C61" s="30"/>
      <c r="D61" s="23" t="s">
        <v>429</v>
      </c>
      <c r="E61" s="33">
        <f>'Data - technical'!I51</f>
        <v>200</v>
      </c>
      <c r="F61" s="32" t="s">
        <v>219</v>
      </c>
      <c r="G61" s="2"/>
      <c r="H61" s="32"/>
      <c r="J61" s="42"/>
    </row>
    <row r="62" spans="2:10" x14ac:dyDescent="0.2">
      <c r="B62" s="28"/>
      <c r="C62" s="28"/>
      <c r="D62" s="35"/>
      <c r="E62" s="36"/>
      <c r="F62" s="37"/>
      <c r="G62" s="14"/>
      <c r="H62" s="37"/>
      <c r="I62" s="14"/>
      <c r="J62" s="249"/>
    </row>
    <row r="63" spans="2:10" ht="13.8" x14ac:dyDescent="0.3">
      <c r="B63" s="29" t="s">
        <v>430</v>
      </c>
      <c r="C63" s="30" t="s">
        <v>148</v>
      </c>
      <c r="D63" s="23" t="s">
        <v>427</v>
      </c>
      <c r="E63" s="31">
        <f>IF('Pathway definition and results'!E23=0,'1. Pathway 1'!E33*'Data - technical'!I59,'1. Pathway 1'!E48*'Data - technical'!I59)</f>
        <v>33673.469387755096</v>
      </c>
      <c r="F63" s="32" t="s">
        <v>431</v>
      </c>
      <c r="G63" s="2"/>
      <c r="H63" s="32"/>
      <c r="J63" s="42"/>
    </row>
    <row r="64" spans="2:10" x14ac:dyDescent="0.2">
      <c r="B64" s="29"/>
      <c r="C64" s="30"/>
      <c r="D64" s="23"/>
      <c r="E64" s="31">
        <f>E63*0.089</f>
        <v>2996.9387755102034</v>
      </c>
      <c r="F64" s="32" t="s">
        <v>249</v>
      </c>
      <c r="G64" s="2"/>
      <c r="H64" s="32"/>
      <c r="J64" s="42"/>
    </row>
    <row r="65" spans="2:35" x14ac:dyDescent="0.2">
      <c r="B65" s="29"/>
      <c r="C65" s="30"/>
      <c r="D65" s="23" t="s">
        <v>429</v>
      </c>
      <c r="E65" s="31">
        <f>'Data - technical'!I62</f>
        <v>200</v>
      </c>
      <c r="F65" s="32" t="s">
        <v>219</v>
      </c>
      <c r="G65" s="2"/>
      <c r="H65" s="32"/>
      <c r="J65" s="42"/>
    </row>
    <row r="66" spans="2:35" x14ac:dyDescent="0.2">
      <c r="B66" s="29"/>
      <c r="C66" s="30"/>
      <c r="D66" s="23" t="s">
        <v>432</v>
      </c>
      <c r="E66" s="31">
        <f>ROUNDUP(E64/'Data - technical'!I63,0)</f>
        <v>10</v>
      </c>
      <c r="F66" s="32" t="s">
        <v>419</v>
      </c>
      <c r="G66" s="2"/>
      <c r="H66" s="32"/>
      <c r="J66" s="42"/>
    </row>
    <row r="67" spans="2:35" x14ac:dyDescent="0.2">
      <c r="B67" s="29"/>
      <c r="C67" s="30" t="s">
        <v>152</v>
      </c>
      <c r="D67" s="23" t="s">
        <v>427</v>
      </c>
      <c r="E67" s="33">
        <f>E63</f>
        <v>33673.469387755096</v>
      </c>
      <c r="F67" s="32" t="s">
        <v>431</v>
      </c>
      <c r="G67" s="2"/>
      <c r="H67" s="32"/>
      <c r="J67" s="42"/>
    </row>
    <row r="68" spans="2:35" x14ac:dyDescent="0.2">
      <c r="B68" s="29"/>
      <c r="C68" s="30"/>
      <c r="D68" s="23"/>
      <c r="E68" s="33"/>
      <c r="F68" s="32"/>
      <c r="G68" s="2"/>
      <c r="H68" s="32"/>
      <c r="J68" s="42"/>
    </row>
    <row r="69" spans="2:35" x14ac:dyDescent="0.2">
      <c r="B69" s="244"/>
      <c r="C69" s="245"/>
      <c r="D69" s="246"/>
      <c r="E69" s="247"/>
      <c r="F69" s="248"/>
      <c r="G69" s="7"/>
      <c r="H69" s="248"/>
      <c r="I69" s="7"/>
      <c r="J69" s="182"/>
    </row>
    <row r="71" spans="2:35" x14ac:dyDescent="0.2">
      <c r="B71" s="120" t="s">
        <v>146</v>
      </c>
      <c r="C71" s="195" t="s">
        <v>136</v>
      </c>
      <c r="D71" s="199" t="s">
        <v>401</v>
      </c>
    </row>
    <row r="72" spans="2:35" x14ac:dyDescent="0.2">
      <c r="B72" s="63" t="s">
        <v>157</v>
      </c>
      <c r="C72" s="2" t="s">
        <v>170</v>
      </c>
      <c r="D72" s="196" t="s">
        <v>67</v>
      </c>
    </row>
    <row r="73" spans="2:35" x14ac:dyDescent="0.2">
      <c r="B73" s="18" t="s">
        <v>158</v>
      </c>
      <c r="C73" s="2" t="s">
        <v>170</v>
      </c>
      <c r="D73" s="197" t="s">
        <v>67</v>
      </c>
    </row>
    <row r="74" spans="2:35" x14ac:dyDescent="0.2">
      <c r="B74" s="18" t="s">
        <v>159</v>
      </c>
      <c r="C74" s="2" t="s">
        <v>170</v>
      </c>
      <c r="D74" s="197" t="s">
        <v>67</v>
      </c>
    </row>
    <row r="75" spans="2:35" x14ac:dyDescent="0.2">
      <c r="B75" s="18" t="s">
        <v>160</v>
      </c>
      <c r="C75" s="2" t="s">
        <v>170</v>
      </c>
      <c r="D75" s="197" t="s">
        <v>67</v>
      </c>
    </row>
    <row r="76" spans="2:35" x14ac:dyDescent="0.2">
      <c r="B76" s="18" t="s">
        <v>161</v>
      </c>
      <c r="C76" s="2" t="s">
        <v>170</v>
      </c>
      <c r="D76" s="197" t="s">
        <v>67</v>
      </c>
    </row>
    <row r="77" spans="2:35" x14ac:dyDescent="0.2">
      <c r="B77" s="119" t="s">
        <v>162</v>
      </c>
      <c r="C77" s="123" t="s">
        <v>170</v>
      </c>
      <c r="D77" s="198">
        <f>IF('Pathway definition and results'!E28=1,100%,'Data - economic'!I48)</f>
        <v>0.12</v>
      </c>
    </row>
    <row r="80" spans="2:35" x14ac:dyDescent="0.2">
      <c r="B80" s="234" t="s">
        <v>433</v>
      </c>
      <c r="C80" s="235"/>
      <c r="D80" s="235"/>
      <c r="E80" s="548" t="s">
        <v>434</v>
      </c>
      <c r="F80" s="548"/>
      <c r="G80" s="548"/>
      <c r="H80" s="548"/>
      <c r="I80" s="548"/>
      <c r="J80" s="548"/>
      <c r="K80" s="548"/>
      <c r="L80" s="548"/>
      <c r="M80" s="548"/>
      <c r="N80" s="548"/>
      <c r="O80" s="548"/>
      <c r="P80" s="548"/>
      <c r="Q80" s="548"/>
      <c r="R80" s="548"/>
      <c r="S80" s="548"/>
      <c r="T80" s="548"/>
      <c r="U80" s="548"/>
      <c r="V80" s="548"/>
      <c r="W80" s="548"/>
      <c r="X80" s="548"/>
      <c r="Y80" s="548"/>
      <c r="Z80" s="548"/>
      <c r="AA80" s="548"/>
      <c r="AB80" s="548"/>
      <c r="AC80" s="548"/>
      <c r="AD80" s="548"/>
      <c r="AE80" s="548"/>
      <c r="AF80" s="548"/>
      <c r="AG80" s="548"/>
      <c r="AH80" s="548"/>
      <c r="AI80" s="549"/>
    </row>
    <row r="81" spans="2:35" x14ac:dyDescent="0.2">
      <c r="B81" s="40" t="s">
        <v>435</v>
      </c>
      <c r="C81" s="40" t="s">
        <v>20</v>
      </c>
      <c r="D81" s="40" t="s">
        <v>147</v>
      </c>
      <c r="E81" s="40">
        <v>0</v>
      </c>
      <c r="F81" s="40">
        <v>1</v>
      </c>
      <c r="G81" s="40">
        <v>2</v>
      </c>
      <c r="H81" s="40">
        <v>3</v>
      </c>
      <c r="I81" s="40">
        <v>4</v>
      </c>
      <c r="J81" s="40">
        <v>5</v>
      </c>
      <c r="K81" s="40">
        <v>6</v>
      </c>
      <c r="L81" s="40">
        <v>7</v>
      </c>
      <c r="M81" s="40">
        <v>8</v>
      </c>
      <c r="N81" s="40">
        <v>9</v>
      </c>
      <c r="O81" s="40">
        <v>10</v>
      </c>
      <c r="P81" s="40">
        <v>11</v>
      </c>
      <c r="Q81" s="40">
        <v>12</v>
      </c>
      <c r="R81" s="40">
        <v>13</v>
      </c>
      <c r="S81" s="40">
        <v>14</v>
      </c>
      <c r="T81" s="40">
        <v>15</v>
      </c>
      <c r="U81" s="40">
        <v>16</v>
      </c>
      <c r="V81" s="40">
        <v>17</v>
      </c>
      <c r="W81" s="40">
        <v>18</v>
      </c>
      <c r="X81" s="40">
        <v>19</v>
      </c>
      <c r="Y81" s="40">
        <v>20</v>
      </c>
      <c r="Z81" s="40">
        <v>21</v>
      </c>
      <c r="AA81" s="40">
        <v>22</v>
      </c>
      <c r="AB81" s="40">
        <v>23</v>
      </c>
      <c r="AC81" s="40">
        <v>24</v>
      </c>
      <c r="AD81" s="40">
        <v>25</v>
      </c>
      <c r="AE81" s="40">
        <v>26</v>
      </c>
      <c r="AF81" s="40">
        <v>27</v>
      </c>
      <c r="AG81" s="40">
        <v>28</v>
      </c>
      <c r="AH81" s="40">
        <v>29</v>
      </c>
      <c r="AI81" s="219">
        <v>30</v>
      </c>
    </row>
    <row r="82" spans="2:35" s="6" customFormat="1" x14ac:dyDescent="0.2">
      <c r="B82" s="8" t="s">
        <v>436</v>
      </c>
      <c r="C82" s="8"/>
      <c r="D82" s="8"/>
      <c r="E82" s="220">
        <f t="shared" ref="E82:AI82" si="0">SUM(E83:E89)</f>
        <v>10822372.44897959</v>
      </c>
      <c r="F82" s="221">
        <f t="shared" si="0"/>
        <v>0</v>
      </c>
      <c r="G82" s="221">
        <f t="shared" si="0"/>
        <v>0</v>
      </c>
      <c r="H82" s="221">
        <f t="shared" si="0"/>
        <v>0</v>
      </c>
      <c r="I82" s="221">
        <f t="shared" si="0"/>
        <v>0</v>
      </c>
      <c r="J82" s="221">
        <f t="shared" si="0"/>
        <v>0</v>
      </c>
      <c r="K82" s="221">
        <f t="shared" si="0"/>
        <v>0</v>
      </c>
      <c r="L82" s="221">
        <f t="shared" si="0"/>
        <v>0</v>
      </c>
      <c r="M82" s="221">
        <f t="shared" si="0"/>
        <v>2887500</v>
      </c>
      <c r="N82" s="221">
        <f t="shared" si="0"/>
        <v>0</v>
      </c>
      <c r="O82" s="221">
        <f t="shared" si="0"/>
        <v>1373596.9387755101</v>
      </c>
      <c r="P82" s="221">
        <f t="shared" si="0"/>
        <v>0</v>
      </c>
      <c r="Q82" s="221">
        <f t="shared" si="0"/>
        <v>0</v>
      </c>
      <c r="R82" s="221">
        <f t="shared" si="0"/>
        <v>0</v>
      </c>
      <c r="S82" s="221">
        <f t="shared" si="0"/>
        <v>0</v>
      </c>
      <c r="T82" s="221">
        <f t="shared" si="0"/>
        <v>0</v>
      </c>
      <c r="U82" s="221">
        <f t="shared" si="0"/>
        <v>0</v>
      </c>
      <c r="V82" s="221">
        <f t="shared" si="0"/>
        <v>0</v>
      </c>
      <c r="W82" s="221">
        <f t="shared" si="0"/>
        <v>0</v>
      </c>
      <c r="X82" s="221">
        <f t="shared" si="0"/>
        <v>0</v>
      </c>
      <c r="Y82" s="221">
        <f t="shared" si="0"/>
        <v>0</v>
      </c>
      <c r="Z82" s="221">
        <f t="shared" si="0"/>
        <v>0</v>
      </c>
      <c r="AA82" s="221">
        <f t="shared" si="0"/>
        <v>0</v>
      </c>
      <c r="AB82" s="221">
        <f t="shared" si="0"/>
        <v>0</v>
      </c>
      <c r="AC82" s="221">
        <f t="shared" si="0"/>
        <v>0</v>
      </c>
      <c r="AD82" s="221">
        <f t="shared" si="0"/>
        <v>0</v>
      </c>
      <c r="AE82" s="221">
        <f t="shared" si="0"/>
        <v>0</v>
      </c>
      <c r="AF82" s="221">
        <f t="shared" si="0"/>
        <v>0</v>
      </c>
      <c r="AG82" s="221">
        <f t="shared" si="0"/>
        <v>0</v>
      </c>
      <c r="AH82" s="221">
        <f t="shared" si="0"/>
        <v>0</v>
      </c>
      <c r="AI82" s="222">
        <f t="shared" si="0"/>
        <v>0</v>
      </c>
    </row>
    <row r="83" spans="2:35" x14ac:dyDescent="0.2">
      <c r="B83" s="9"/>
      <c r="C83" s="21" t="s">
        <v>416</v>
      </c>
      <c r="D83" s="1" t="s">
        <v>436</v>
      </c>
      <c r="E83" s="223">
        <f>IF('Pathway definition and results'!E23=1,0,IF('Pathway definition and results'!E24=0,'1. Pathway 1'!E27*1000*'Data - economic'!I90,('Data - general'!D53*'1. Pathway 1'!E27^'Data - general'!D54)*'1. Pathway 1'!E27*1000))</f>
        <v>8250000</v>
      </c>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5"/>
    </row>
    <row r="84" spans="2:35" x14ac:dyDescent="0.2">
      <c r="B84" s="9"/>
      <c r="C84" s="21" t="s">
        <v>437</v>
      </c>
      <c r="D84" s="1" t="s">
        <v>438</v>
      </c>
      <c r="E84" s="226"/>
      <c r="F84" s="223">
        <f>IF(e_ecolifetime_yr='Data - economic'!$I$94,0,IF('1. Pathway 1'!F81&gt;=e_ecolifetime_yr,0,IF(ROUNDDOWN(('1. Pathway 1'!F81/'Data - economic'!$I$94),0)=('1. Pathway 1'!F81/'Data - economic'!$I$94),'1. Pathway 1'!$E$83*'Data - economic'!$I$91,0)))</f>
        <v>0</v>
      </c>
      <c r="G84" s="223">
        <f>IF(e_ecolifetime_yr='Data - economic'!$I$94,0,IF('1. Pathway 1'!G81&gt;=e_ecolifetime_yr,0,IF(ROUNDDOWN(('1. Pathway 1'!G81/'Data - economic'!$I$94),0)=('1. Pathway 1'!G81/'Data - economic'!$I$94),'1. Pathway 1'!$E$83*'Data - economic'!$I$91,0)))</f>
        <v>0</v>
      </c>
      <c r="H84" s="223">
        <f>IF(e_ecolifetime_yr='Data - economic'!$I$94,0,IF('1. Pathway 1'!H81&gt;=e_ecolifetime_yr,0,IF(ROUNDDOWN(('1. Pathway 1'!H81/'Data - economic'!$I$94),0)=('1. Pathway 1'!H81/'Data - economic'!$I$94),'1. Pathway 1'!$E$83*'Data - economic'!$I$91,0)))</f>
        <v>0</v>
      </c>
      <c r="I84" s="223">
        <f>IF(e_ecolifetime_yr='Data - economic'!$I$94,0,IF('1. Pathway 1'!I81&gt;=e_ecolifetime_yr,0,IF(ROUNDDOWN(('1. Pathway 1'!I81/'Data - economic'!$I$94),0)=('1. Pathway 1'!I81/'Data - economic'!$I$94),'1. Pathway 1'!$E$83*'Data - economic'!$I$91,0)))</f>
        <v>0</v>
      </c>
      <c r="J84" s="223">
        <f>IF(e_ecolifetime_yr='Data - economic'!$I$94,0,IF('1. Pathway 1'!J81&gt;=e_ecolifetime_yr,0,IF(ROUNDDOWN(('1. Pathway 1'!J81/'Data - economic'!$I$94),0)=('1. Pathway 1'!J81/'Data - economic'!$I$94),'1. Pathway 1'!$E$83*'Data - economic'!$I$91,0)))</f>
        <v>0</v>
      </c>
      <c r="K84" s="223">
        <f>IF(e_ecolifetime_yr='Data - economic'!$I$94,0,IF('1. Pathway 1'!K81&gt;=e_ecolifetime_yr,0,IF(ROUNDDOWN(('1. Pathway 1'!K81/'Data - economic'!$I$94),0)=('1. Pathway 1'!K81/'Data - economic'!$I$94),'1. Pathway 1'!$E$83*'Data - economic'!$I$91,0)))</f>
        <v>0</v>
      </c>
      <c r="L84" s="223">
        <f>IF(e_ecolifetime_yr='Data - economic'!$I$94,0,IF('1. Pathway 1'!L81&gt;=e_ecolifetime_yr,0,IF(ROUNDDOWN(('1. Pathway 1'!L81/'Data - economic'!$I$94),0)=('1. Pathway 1'!L81/'Data - economic'!$I$94),'1. Pathway 1'!$E$83*'Data - economic'!$I$91,0)))</f>
        <v>0</v>
      </c>
      <c r="M84" s="223">
        <f>IF(e_ecolifetime_yr='Data - economic'!$I$94,0,IF('1. Pathway 1'!M81&gt;=e_ecolifetime_yr,0,IF(ROUNDDOWN(('1. Pathway 1'!M81/'Data - economic'!$I$94),0)=('1. Pathway 1'!M81/'Data - economic'!$I$94),'1. Pathway 1'!$E$83*'Data - economic'!$I$91,0)))</f>
        <v>2887500</v>
      </c>
      <c r="N84" s="223">
        <f>IF(e_ecolifetime_yr='Data - economic'!$I$94,0,IF('1. Pathway 1'!N81&gt;=e_ecolifetime_yr,0,IF(ROUNDDOWN(('1. Pathway 1'!N81/'Data - economic'!$I$94),0)=('1. Pathway 1'!N81/'Data - economic'!$I$94),'1. Pathway 1'!$E$83*'Data - economic'!$I$91,0)))</f>
        <v>0</v>
      </c>
      <c r="O84" s="223">
        <f>IF(e_ecolifetime_yr='Data - economic'!$I$94,0,IF('1. Pathway 1'!O81&gt;=e_ecolifetime_yr,0,IF(ROUNDDOWN(('1. Pathway 1'!O81/'Data - economic'!$I$94),0)=('1. Pathway 1'!O81/'Data - economic'!$I$94),'1. Pathway 1'!$E$83*'Data - economic'!$I$91,0)))</f>
        <v>0</v>
      </c>
      <c r="P84" s="223">
        <f>IF(e_ecolifetime_yr='Data - economic'!$I$94,0,IF('1. Pathway 1'!P81&gt;=e_ecolifetime_yr,0,IF(ROUNDDOWN(('1. Pathway 1'!P81/'Data - economic'!$I$94),0)=('1. Pathway 1'!P81/'Data - economic'!$I$94),'1. Pathway 1'!$E$83*'Data - economic'!$I$91,0)))</f>
        <v>0</v>
      </c>
      <c r="Q84" s="223">
        <f>IF(e_ecolifetime_yr='Data - economic'!$I$94,0,IF('1. Pathway 1'!Q81&gt;=e_ecolifetime_yr,0,IF(ROUNDDOWN(('1. Pathway 1'!Q81/'Data - economic'!$I$94),0)=('1. Pathway 1'!Q81/'Data - economic'!$I$94),'1. Pathway 1'!$E$83*'Data - economic'!$I$91,0)))</f>
        <v>0</v>
      </c>
      <c r="R84" s="223">
        <f>IF(e_ecolifetime_yr='Data - economic'!$I$94,0,IF('1. Pathway 1'!R81&gt;=e_ecolifetime_yr,0,IF(ROUNDDOWN(('1. Pathway 1'!R81/'Data - economic'!$I$94),0)=('1. Pathway 1'!R81/'Data - economic'!$I$94),'1. Pathway 1'!$E$83*'Data - economic'!$I$91,0)))</f>
        <v>0</v>
      </c>
      <c r="S84" s="223">
        <f>IF(e_ecolifetime_yr='Data - economic'!$I$94,0,IF('1. Pathway 1'!S81&gt;=e_ecolifetime_yr,0,IF(ROUNDDOWN(('1. Pathway 1'!S81/'Data - economic'!$I$94),0)=('1. Pathway 1'!S81/'Data - economic'!$I$94),'1. Pathway 1'!$E$83*'Data - economic'!$I$91,0)))</f>
        <v>0</v>
      </c>
      <c r="T84" s="223">
        <f>IF(e_ecolifetime_yr='Data - economic'!$I$94,0,IF('1. Pathway 1'!T81&gt;=e_ecolifetime_yr,0,IF(ROUNDDOWN(('1. Pathway 1'!T81/'Data - economic'!$I$94),0)=('1. Pathway 1'!T81/'Data - economic'!$I$94),'1. Pathway 1'!$E$83*'Data - economic'!$I$91,0)))</f>
        <v>0</v>
      </c>
      <c r="U84" s="223">
        <f>IF(e_ecolifetime_yr='Data - economic'!$I$94,0,IF('1. Pathway 1'!U81&gt;=e_ecolifetime_yr,0,IF(ROUNDDOWN(('1. Pathway 1'!U81/'Data - economic'!$I$94),0)=('1. Pathway 1'!U81/'Data - economic'!$I$94),'1. Pathway 1'!$E$83*'Data - economic'!$I$91,0)))</f>
        <v>0</v>
      </c>
      <c r="V84" s="223">
        <f>IF(e_ecolifetime_yr='Data - economic'!$I$94,0,IF('1. Pathway 1'!V81&gt;=e_ecolifetime_yr,0,IF(ROUNDDOWN(('1. Pathway 1'!V81/'Data - economic'!$I$94),0)=('1. Pathway 1'!V81/'Data - economic'!$I$94),'1. Pathway 1'!$E$83*'Data - economic'!$I$91,0)))</f>
        <v>0</v>
      </c>
      <c r="W84" s="223">
        <f>IF(e_ecolifetime_yr='Data - economic'!$I$94,0,IF('1. Pathway 1'!W81&gt;=e_ecolifetime_yr,0,IF(ROUNDDOWN(('1. Pathway 1'!W81/'Data - economic'!$I$94),0)=('1. Pathway 1'!W81/'Data - economic'!$I$94),'1. Pathway 1'!$E$83*'Data - economic'!$I$91,0)))</f>
        <v>0</v>
      </c>
      <c r="X84" s="223">
        <f>IF(e_ecolifetime_yr='Data - economic'!$I$94,0,IF('1. Pathway 1'!X81&gt;=e_ecolifetime_yr,0,IF(ROUNDDOWN(('1. Pathway 1'!X81/'Data - economic'!$I$94),0)=('1. Pathway 1'!X81/'Data - economic'!$I$94),'1. Pathway 1'!$E$83*'Data - economic'!$I$91,0)))</f>
        <v>0</v>
      </c>
      <c r="Y84" s="223">
        <f>IF(e_ecolifetime_yr='Data - economic'!$I$94,0,IF('1. Pathway 1'!Y81&gt;=e_ecolifetime_yr,0,IF(ROUNDDOWN(('1. Pathway 1'!Y81/'Data - economic'!$I$94),0)=('1. Pathway 1'!Y81/'Data - economic'!$I$94),'1. Pathway 1'!$E$83*'Data - economic'!$I$91,0)))</f>
        <v>0</v>
      </c>
      <c r="Z84" s="223">
        <f>IF(e_ecolifetime_yr='Data - economic'!$I$94,0,IF('1. Pathway 1'!Z81&gt;=e_ecolifetime_yr,0,IF(ROUNDDOWN(('1. Pathway 1'!Z81/'Data - economic'!$I$94),0)=('1. Pathway 1'!Z81/'Data - economic'!$I$94),'1. Pathway 1'!$E$83*'Data - economic'!$I$91,0)))</f>
        <v>0</v>
      </c>
      <c r="AA84" s="223">
        <f>IF(e_ecolifetime_yr='Data - economic'!$I$94,0,IF('1. Pathway 1'!AA81&gt;=e_ecolifetime_yr,0,IF(ROUNDDOWN(('1. Pathway 1'!AA81/'Data - economic'!$I$94),0)=('1. Pathway 1'!AA81/'Data - economic'!$I$94),'1. Pathway 1'!$E$83*'Data - economic'!$I$91,0)))</f>
        <v>0</v>
      </c>
      <c r="AB84" s="223">
        <f>IF(e_ecolifetime_yr='Data - economic'!$I$94,0,IF('1. Pathway 1'!AB81&gt;=e_ecolifetime_yr,0,IF(ROUNDDOWN(('1. Pathway 1'!AB81/'Data - economic'!$I$94),0)=('1. Pathway 1'!AB81/'Data - economic'!$I$94),'1. Pathway 1'!$E$83*'Data - economic'!$I$91,0)))</f>
        <v>0</v>
      </c>
      <c r="AC84" s="223">
        <f>IF(e_ecolifetime_yr='Data - economic'!$I$94,0,IF('1. Pathway 1'!AC81&gt;=e_ecolifetime_yr,0,IF(ROUNDDOWN(('1. Pathway 1'!AC81/'Data - economic'!$I$94),0)=('1. Pathway 1'!AC81/'Data - economic'!$I$94),'1. Pathway 1'!$E$83*'Data - economic'!$I$91,0)))</f>
        <v>0</v>
      </c>
      <c r="AD84" s="223">
        <f>IF(e_ecolifetime_yr='Data - economic'!$I$94,0,IF('1. Pathway 1'!AD81&gt;=e_ecolifetime_yr,0,IF(ROUNDDOWN(('1. Pathway 1'!AD81/'Data - economic'!$I$94),0)=('1. Pathway 1'!AD81/'Data - economic'!$I$94),'1. Pathway 1'!$E$83*'Data - economic'!$I$91,0)))</f>
        <v>0</v>
      </c>
      <c r="AE84" s="223">
        <f>IF(e_ecolifetime_yr='Data - economic'!$I$94,0,IF('1. Pathway 1'!AE81&gt;=e_ecolifetime_yr,0,IF(ROUNDDOWN(('1. Pathway 1'!AE81/'Data - economic'!$I$94),0)=('1. Pathway 1'!AE81/'Data - economic'!$I$94),'1. Pathway 1'!$E$83*'Data - economic'!$I$91,0)))</f>
        <v>0</v>
      </c>
      <c r="AF84" s="223">
        <f>IF(e_ecolifetime_yr='Data - economic'!$I$94,0,IF('1. Pathway 1'!AF81&gt;=e_ecolifetime_yr,0,IF(ROUNDDOWN(('1. Pathway 1'!AF81/'Data - economic'!$I$94),0)=('1. Pathway 1'!AF81/'Data - economic'!$I$94),'1. Pathway 1'!$E$83*'Data - economic'!$I$91,0)))</f>
        <v>0</v>
      </c>
      <c r="AG84" s="223">
        <f>IF(e_ecolifetime_yr='Data - economic'!$I$94,0,IF('1. Pathway 1'!AG81&gt;=e_ecolifetime_yr,0,IF(ROUNDDOWN(('1. Pathway 1'!AG81/'Data - economic'!$I$94),0)=('1. Pathway 1'!AG81/'Data - economic'!$I$94),'1. Pathway 1'!$E$83*'Data - economic'!$I$91,0)))</f>
        <v>0</v>
      </c>
      <c r="AH84" s="223">
        <f>IF(e_ecolifetime_yr='Data - economic'!$I$94,0,IF('1. Pathway 1'!AH81&gt;=e_ecolifetime_yr,0,IF(ROUNDDOWN(('1. Pathway 1'!AH81/'Data - economic'!$I$94),0)=('1. Pathway 1'!AH81/'Data - economic'!$I$94),'1. Pathway 1'!$E$83*'Data - economic'!$I$91,0)))</f>
        <v>0</v>
      </c>
      <c r="AI84" s="227">
        <f>IF(e_ecolifetime_yr='Data - economic'!$I$94,0,IF('1. Pathway 1'!AI81&gt;=e_ecolifetime_yr,0,IF(ROUNDDOWN(('1. Pathway 1'!AI81/'Data - economic'!$I$94),0)=('1. Pathway 1'!AI81/'Data - economic'!$I$94),'1. Pathway 1'!$E$83*'Data - economic'!$I$91,0)))</f>
        <v>0</v>
      </c>
    </row>
    <row r="85" spans="2:35" x14ac:dyDescent="0.2">
      <c r="B85" s="9"/>
      <c r="C85" s="21" t="s">
        <v>439</v>
      </c>
      <c r="D85" s="1" t="s">
        <v>436</v>
      </c>
      <c r="E85" s="223">
        <f>IF('Pathway definition and results'!E23=0,0,IF('Pathway definition and results'!E24=0,'1. Pathway 1'!E42*1000*'Data - economic'!I97,('Data - general'!D76*'1. Pathway 1'!E42^'Data - general'!D77)*'1. Pathway 1'!E42*1000))</f>
        <v>0</v>
      </c>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5"/>
    </row>
    <row r="86" spans="2:35" x14ac:dyDescent="0.2">
      <c r="B86" s="9"/>
      <c r="C86" s="21" t="s">
        <v>437</v>
      </c>
      <c r="D86" s="1" t="s">
        <v>438</v>
      </c>
      <c r="E86" s="226"/>
      <c r="F86" s="223">
        <f>IF(e_ecolifetime_yr='Data - economic'!$I$101,0,IF('1. Pathway 1'!F81&gt;=e_ecolifetime_yr,0,IF(ROUNDDOWN(('1. Pathway 1'!F81/'Data - economic'!$I$101),0)=('1. Pathway 1'!F81/'Data - economic'!$I$101),'1. Pathway 1'!$E$85*'Data - economic'!$I$98,0)))</f>
        <v>0</v>
      </c>
      <c r="G86" s="223">
        <f>IF(e_ecolifetime_yr='Data - economic'!$I$101,0,IF('1. Pathway 1'!G81&gt;=e_ecolifetime_yr,0,IF(ROUNDDOWN(('1. Pathway 1'!G81/'Data - economic'!$I$101),0)=('1. Pathway 1'!G81/'Data - economic'!$I$101),'1. Pathway 1'!$E$85*'Data - economic'!$I$98,0)))</f>
        <v>0</v>
      </c>
      <c r="H86" s="223">
        <f>IF(e_ecolifetime_yr='Data - economic'!$I$101,0,IF('1. Pathway 1'!H81&gt;=e_ecolifetime_yr,0,IF(ROUNDDOWN(('1. Pathway 1'!H81/'Data - economic'!$I$101),0)=('1. Pathway 1'!H81/'Data - economic'!$I$101),'1. Pathway 1'!$E$85*'Data - economic'!$I$98,0)))</f>
        <v>0</v>
      </c>
      <c r="I86" s="223">
        <f>IF(e_ecolifetime_yr='Data - economic'!$I$101,0,IF('1. Pathway 1'!I81&gt;=e_ecolifetime_yr,0,IF(ROUNDDOWN(('1. Pathway 1'!I81/'Data - economic'!$I$101),0)=('1. Pathway 1'!I81/'Data - economic'!$I$101),'1. Pathway 1'!$E$85*'Data - economic'!$I$98,0)))</f>
        <v>0</v>
      </c>
      <c r="J86" s="223">
        <f>IF(e_ecolifetime_yr='Data - economic'!$I$101,0,IF('1. Pathway 1'!J81&gt;=e_ecolifetime_yr,0,IF(ROUNDDOWN(('1. Pathway 1'!J81/'Data - economic'!$I$101),0)=('1. Pathway 1'!J81/'Data - economic'!$I$101),'1. Pathway 1'!$E$85*'Data - economic'!$I$98,0)))</f>
        <v>0</v>
      </c>
      <c r="K86" s="223">
        <f>IF(e_ecolifetime_yr='Data - economic'!$I$101,0,IF('1. Pathway 1'!K81&gt;=e_ecolifetime_yr,0,IF(ROUNDDOWN(('1. Pathway 1'!K81/'Data - economic'!$I$101),0)=('1. Pathway 1'!K81/'Data - economic'!$I$101),'1. Pathway 1'!$E$85*'Data - economic'!$I$98,0)))</f>
        <v>0</v>
      </c>
      <c r="L86" s="223">
        <f>IF(e_ecolifetime_yr='Data - economic'!$I$101,0,IF('1. Pathway 1'!L81&gt;=e_ecolifetime_yr,0,IF(ROUNDDOWN(('1. Pathway 1'!L81/'Data - economic'!$I$101),0)=('1. Pathway 1'!L81/'Data - economic'!$I$101),'1. Pathway 1'!$E$85*'Data - economic'!$I$98,0)))</f>
        <v>0</v>
      </c>
      <c r="M86" s="223">
        <f>IF(e_ecolifetime_yr='Data - economic'!$I$101,0,IF('1. Pathway 1'!M81&gt;=e_ecolifetime_yr,0,IF(ROUNDDOWN(('1. Pathway 1'!M81/'Data - economic'!$I$101),0)=('1. Pathway 1'!M81/'Data - economic'!$I$101),'1. Pathway 1'!$E$85*'Data - economic'!$I$98,0)))</f>
        <v>0</v>
      </c>
      <c r="N86" s="223">
        <f>IF(e_ecolifetime_yr='Data - economic'!$I$101,0,IF('1. Pathway 1'!N81&gt;=e_ecolifetime_yr,0,IF(ROUNDDOWN(('1. Pathway 1'!N81/'Data - economic'!$I$101),0)=('1. Pathway 1'!N81/'Data - economic'!$I$101),'1. Pathway 1'!$E$85*'Data - economic'!$I$98,0)))</f>
        <v>0</v>
      </c>
      <c r="O86" s="223">
        <f>IF(e_ecolifetime_yr='Data - economic'!$I$101,0,IF('1. Pathway 1'!O81&gt;=e_ecolifetime_yr,0,IF(ROUNDDOWN(('1. Pathway 1'!O81/'Data - economic'!$I$101),0)=('1. Pathway 1'!O81/'Data - economic'!$I$101),'1. Pathway 1'!$E$85*'Data - economic'!$I$98,0)))</f>
        <v>0</v>
      </c>
      <c r="P86" s="223">
        <f>IF(e_ecolifetime_yr='Data - economic'!$I$101,0,IF('1. Pathway 1'!P81&gt;=e_ecolifetime_yr,0,IF(ROUNDDOWN(('1. Pathway 1'!P81/'Data - economic'!$I$101),0)=('1. Pathway 1'!P81/'Data - economic'!$I$101),'1. Pathway 1'!$E$85*'Data - economic'!$I$98,0)))</f>
        <v>0</v>
      </c>
      <c r="Q86" s="223">
        <f>IF(e_ecolifetime_yr='Data - economic'!$I$101,0,IF('1. Pathway 1'!Q81&gt;=e_ecolifetime_yr,0,IF(ROUNDDOWN(('1. Pathway 1'!Q81/'Data - economic'!$I$101),0)=('1. Pathway 1'!Q81/'Data - economic'!$I$101),'1. Pathway 1'!$E$85*'Data - economic'!$I$98,0)))</f>
        <v>0</v>
      </c>
      <c r="R86" s="223">
        <f>IF(e_ecolifetime_yr='Data - economic'!$I$101,0,IF('1. Pathway 1'!R81&gt;=e_ecolifetime_yr,0,IF(ROUNDDOWN(('1. Pathway 1'!R81/'Data - economic'!$I$101),0)=('1. Pathway 1'!R81/'Data - economic'!$I$101),'1. Pathway 1'!$E$85*'Data - economic'!$I$98,0)))</f>
        <v>0</v>
      </c>
      <c r="S86" s="223">
        <f>IF(e_ecolifetime_yr='Data - economic'!$I$101,0,IF('1. Pathway 1'!S81&gt;=e_ecolifetime_yr,0,IF(ROUNDDOWN(('1. Pathway 1'!S81/'Data - economic'!$I$101),0)=('1. Pathway 1'!S81/'Data - economic'!$I$101),'1. Pathway 1'!$E$85*'Data - economic'!$I$98,0)))</f>
        <v>0</v>
      </c>
      <c r="T86" s="223">
        <f>IF(e_ecolifetime_yr='Data - economic'!$I$101,0,IF('1. Pathway 1'!T81&gt;=e_ecolifetime_yr,0,IF(ROUNDDOWN(('1. Pathway 1'!T81/'Data - economic'!$I$101),0)=('1. Pathway 1'!T81/'Data - economic'!$I$101),'1. Pathway 1'!$E$85*'Data - economic'!$I$98,0)))</f>
        <v>0</v>
      </c>
      <c r="U86" s="223">
        <f>IF(e_ecolifetime_yr='Data - economic'!$I$101,0,IF('1. Pathway 1'!U81&gt;=e_ecolifetime_yr,0,IF(ROUNDDOWN(('1. Pathway 1'!U81/'Data - economic'!$I$101),0)=('1. Pathway 1'!U81/'Data - economic'!$I$101),'1. Pathway 1'!$E$85*'Data - economic'!$I$98,0)))</f>
        <v>0</v>
      </c>
      <c r="V86" s="223">
        <f>IF(e_ecolifetime_yr='Data - economic'!$I$101,0,IF('1. Pathway 1'!V81&gt;=e_ecolifetime_yr,0,IF(ROUNDDOWN(('1. Pathway 1'!V81/'Data - economic'!$I$101),0)=('1. Pathway 1'!V81/'Data - economic'!$I$101),'1. Pathway 1'!$E$85*'Data - economic'!$I$98,0)))</f>
        <v>0</v>
      </c>
      <c r="W86" s="223">
        <f>IF(e_ecolifetime_yr='Data - economic'!$I$101,0,IF('1. Pathway 1'!W81&gt;=e_ecolifetime_yr,0,IF(ROUNDDOWN(('1. Pathway 1'!W81/'Data - economic'!$I$101),0)=('1. Pathway 1'!W81/'Data - economic'!$I$101),'1. Pathway 1'!$E$85*'Data - economic'!$I$98,0)))</f>
        <v>0</v>
      </c>
      <c r="X86" s="223">
        <f>IF(e_ecolifetime_yr='Data - economic'!$I$101,0,IF('1. Pathway 1'!X81&gt;=e_ecolifetime_yr,0,IF(ROUNDDOWN(('1. Pathway 1'!X81/'Data - economic'!$I$101),0)=('1. Pathway 1'!X81/'Data - economic'!$I$101),'1. Pathway 1'!$E$85*'Data - economic'!$I$98,0)))</f>
        <v>0</v>
      </c>
      <c r="Y86" s="223">
        <f>IF(e_ecolifetime_yr='Data - economic'!$I$101,0,IF('1. Pathway 1'!Y81&gt;=e_ecolifetime_yr,0,IF(ROUNDDOWN(('1. Pathway 1'!Y81/'Data - economic'!$I$101),0)=('1. Pathway 1'!Y81/'Data - economic'!$I$101),'1. Pathway 1'!$E$85*'Data - economic'!$I$98,0)))</f>
        <v>0</v>
      </c>
      <c r="Z86" s="223">
        <f>IF(e_ecolifetime_yr='Data - economic'!$I$101,0,IF('1. Pathway 1'!Z81&gt;=e_ecolifetime_yr,0,IF(ROUNDDOWN(('1. Pathway 1'!Z81/'Data - economic'!$I$101),0)=('1. Pathway 1'!Z81/'Data - economic'!$I$101),'1. Pathway 1'!$E$85*'Data - economic'!$I$98,0)))</f>
        <v>0</v>
      </c>
      <c r="AA86" s="223">
        <f>IF(e_ecolifetime_yr='Data - economic'!$I$101,0,IF('1. Pathway 1'!AA81&gt;=e_ecolifetime_yr,0,IF(ROUNDDOWN(('1. Pathway 1'!AA81/'Data - economic'!$I$101),0)=('1. Pathway 1'!AA81/'Data - economic'!$I$101),'1. Pathway 1'!$E$85*'Data - economic'!$I$98,0)))</f>
        <v>0</v>
      </c>
      <c r="AB86" s="223">
        <f>IF(e_ecolifetime_yr='Data - economic'!$I$101,0,IF('1. Pathway 1'!AB81&gt;=e_ecolifetime_yr,0,IF(ROUNDDOWN(('1. Pathway 1'!AB81/'Data - economic'!$I$101),0)=('1. Pathway 1'!AB81/'Data - economic'!$I$101),'1. Pathway 1'!$E$85*'Data - economic'!$I$98,0)))</f>
        <v>0</v>
      </c>
      <c r="AC86" s="223">
        <f>IF(e_ecolifetime_yr='Data - economic'!$I$101,0,IF('1. Pathway 1'!AC81&gt;=e_ecolifetime_yr,0,IF(ROUNDDOWN(('1. Pathway 1'!AC81/'Data - economic'!$I$101),0)=('1. Pathway 1'!AC81/'Data - economic'!$I$101),'1. Pathway 1'!$E$85*'Data - economic'!$I$98,0)))</f>
        <v>0</v>
      </c>
      <c r="AD86" s="223">
        <f>IF(e_ecolifetime_yr='Data - economic'!$I$101,0,IF('1. Pathway 1'!AD81&gt;=e_ecolifetime_yr,0,IF(ROUNDDOWN(('1. Pathway 1'!AD81/'Data - economic'!$I$101),0)=('1. Pathway 1'!AD81/'Data - economic'!$I$101),'1. Pathway 1'!$E$85*'Data - economic'!$I$98,0)))</f>
        <v>0</v>
      </c>
      <c r="AE86" s="223">
        <f>IF(e_ecolifetime_yr='Data - economic'!$I$101,0,IF('1. Pathway 1'!AE81&gt;=e_ecolifetime_yr,0,IF(ROUNDDOWN(('1. Pathway 1'!AE81/'Data - economic'!$I$101),0)=('1. Pathway 1'!AE81/'Data - economic'!$I$101),'1. Pathway 1'!$E$85*'Data - economic'!$I$98,0)))</f>
        <v>0</v>
      </c>
      <c r="AF86" s="223">
        <f>IF(e_ecolifetime_yr='Data - economic'!$I$101,0,IF('1. Pathway 1'!AF81&gt;=e_ecolifetime_yr,0,IF(ROUNDDOWN(('1. Pathway 1'!AF81/'Data - economic'!$I$101),0)=('1. Pathway 1'!AF81/'Data - economic'!$I$101),'1. Pathway 1'!$E$85*'Data - economic'!$I$98,0)))</f>
        <v>0</v>
      </c>
      <c r="AG86" s="223">
        <f>IF(e_ecolifetime_yr='Data - economic'!$I$101,0,IF('1. Pathway 1'!AG81&gt;=e_ecolifetime_yr,0,IF(ROUNDDOWN(('1. Pathway 1'!AG81/'Data - economic'!$I$101),0)=('1. Pathway 1'!AG81/'Data - economic'!$I$101),'1. Pathway 1'!$E$85*'Data - economic'!$I$98,0)))</f>
        <v>0</v>
      </c>
      <c r="AH86" s="223">
        <f>IF(e_ecolifetime_yr='Data - economic'!$I$101,0,IF('1. Pathway 1'!AH81&gt;=e_ecolifetime_yr,0,IF(ROUNDDOWN(('1. Pathway 1'!AH81/'Data - economic'!$I$101),0)=('1. Pathway 1'!AH81/'Data - economic'!$I$101),'1. Pathway 1'!$E$85*'Data - economic'!$I$98,0)))</f>
        <v>0</v>
      </c>
      <c r="AI86" s="227">
        <f>IF(e_ecolifetime_yr='Data - economic'!$I$101,0,IF('1. Pathway 1'!AI81&gt;=e_ecolifetime_yr,0,IF(ROUNDDOWN(('1. Pathway 1'!AI81/'Data - economic'!$I$101),0)=('1. Pathway 1'!AI81/'Data - economic'!$I$101),'1. Pathway 1'!$E$85*'Data - economic'!$I$98,0)))</f>
        <v>0</v>
      </c>
    </row>
    <row r="87" spans="2:35" ht="13.8" x14ac:dyDescent="0.3">
      <c r="B87" s="9"/>
      <c r="C87" s="21" t="s">
        <v>440</v>
      </c>
      <c r="D87" s="1" t="s">
        <v>436</v>
      </c>
      <c r="E87" s="223">
        <f>'Data - economic'!I106*E56</f>
        <v>1373596.9387755101</v>
      </c>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5"/>
    </row>
    <row r="88" spans="2:35" x14ac:dyDescent="0.2">
      <c r="B88" s="9"/>
      <c r="C88" s="21"/>
      <c r="D88" s="1" t="s">
        <v>438</v>
      </c>
      <c r="E88" s="226"/>
      <c r="F88" s="226">
        <f>IF(e_ecolifetime_yr='Data - economic'!$I$107,0,IF('1. Pathway 1'!F81&gt;=e_ecolifetime_yr,0,IF(ROUNDDOWN(('1. Pathway 1'!F81/'Data - economic'!$I$107),0)=('1. Pathway 1'!F81/'Data - economic'!$I$107),'1. Pathway 1'!$E$87,0)))</f>
        <v>0</v>
      </c>
      <c r="G88" s="226">
        <f>IF(e_ecolifetime_yr='Data - economic'!$I$107,0,IF('1. Pathway 1'!G81&gt;=e_ecolifetime_yr,0,IF(ROUNDDOWN(('1. Pathway 1'!G81/'Data - economic'!$I$107),0)=('1. Pathway 1'!G81/'Data - economic'!$I$107),'1. Pathway 1'!$E$87,0)))</f>
        <v>0</v>
      </c>
      <c r="H88" s="226">
        <f>IF(e_ecolifetime_yr='Data - economic'!$I$107,0,IF('1. Pathway 1'!H81&gt;=e_ecolifetime_yr,0,IF(ROUNDDOWN(('1. Pathway 1'!H81/'Data - economic'!$I$107),0)=('1. Pathway 1'!H81/'Data - economic'!$I$107),'1. Pathway 1'!$E$87,0)))</f>
        <v>0</v>
      </c>
      <c r="I88" s="226">
        <f>IF(e_ecolifetime_yr='Data - economic'!$I$107,0,IF('1. Pathway 1'!I81&gt;=e_ecolifetime_yr,0,IF(ROUNDDOWN(('1. Pathway 1'!I81/'Data - economic'!$I$107),0)=('1. Pathway 1'!I81/'Data - economic'!$I$107),'1. Pathway 1'!$E$87,0)))</f>
        <v>0</v>
      </c>
      <c r="J88" s="226">
        <f>IF(e_ecolifetime_yr='Data - economic'!$I$107,0,IF('1. Pathway 1'!J81&gt;=e_ecolifetime_yr,0,IF(ROUNDDOWN(('1. Pathway 1'!J81/'Data - economic'!$I$107),0)=('1. Pathway 1'!J81/'Data - economic'!$I$107),'1. Pathway 1'!$E$87,0)))</f>
        <v>0</v>
      </c>
      <c r="K88" s="226">
        <f>IF(e_ecolifetime_yr='Data - economic'!$I$107,0,IF('1. Pathway 1'!K81&gt;=e_ecolifetime_yr,0,IF(ROUNDDOWN(('1. Pathway 1'!K81/'Data - economic'!$I$107),0)=('1. Pathway 1'!K81/'Data - economic'!$I$107),'1. Pathway 1'!$E$87,0)))</f>
        <v>0</v>
      </c>
      <c r="L88" s="226">
        <f>IF(e_ecolifetime_yr='Data - economic'!$I$107,0,IF('1. Pathway 1'!L81&gt;=e_ecolifetime_yr,0,IF(ROUNDDOWN(('1. Pathway 1'!L81/'Data - economic'!$I$107),0)=('1. Pathway 1'!L81/'Data - economic'!$I$107),'1. Pathway 1'!$E$87,0)))</f>
        <v>0</v>
      </c>
      <c r="M88" s="226">
        <f>IF(e_ecolifetime_yr='Data - economic'!$I$107,0,IF('1. Pathway 1'!M81&gt;=e_ecolifetime_yr,0,IF(ROUNDDOWN(('1. Pathway 1'!M81/'Data - economic'!$I$107),0)=('1. Pathway 1'!M81/'Data - economic'!$I$107),'1. Pathway 1'!$E$87,0)))</f>
        <v>0</v>
      </c>
      <c r="N88" s="226">
        <f>IF(e_ecolifetime_yr='Data - economic'!$I$107,0,IF('1. Pathway 1'!N81&gt;=e_ecolifetime_yr,0,IF(ROUNDDOWN(('1. Pathway 1'!N81/'Data - economic'!$I$107),0)=('1. Pathway 1'!N81/'Data - economic'!$I$107),'1. Pathway 1'!$E$87,0)))</f>
        <v>0</v>
      </c>
      <c r="O88" s="226">
        <f>IF(e_ecolifetime_yr='Data - economic'!$I$107,0,IF('1. Pathway 1'!O81&gt;=e_ecolifetime_yr,0,IF(ROUNDDOWN(('1. Pathway 1'!O81/'Data - economic'!$I$107),0)=('1. Pathway 1'!O81/'Data - economic'!$I$107),'1. Pathway 1'!$E$87,0)))</f>
        <v>1373596.9387755101</v>
      </c>
      <c r="P88" s="226">
        <f>IF(e_ecolifetime_yr='Data - economic'!$I$107,0,IF('1. Pathway 1'!P81&gt;=e_ecolifetime_yr,0,IF(ROUNDDOWN(('1. Pathway 1'!P81/'Data - economic'!$I$107),0)=('1. Pathway 1'!P81/'Data - economic'!$I$107),'1. Pathway 1'!$E$87,0)))</f>
        <v>0</v>
      </c>
      <c r="Q88" s="226">
        <f>IF(e_ecolifetime_yr='Data - economic'!$I$107,0,IF('1. Pathway 1'!Q81&gt;=e_ecolifetime_yr,0,IF(ROUNDDOWN(('1. Pathway 1'!Q81/'Data - economic'!$I$107),0)=('1. Pathway 1'!Q81/'Data - economic'!$I$107),'1. Pathway 1'!$E$87,0)))</f>
        <v>0</v>
      </c>
      <c r="R88" s="226">
        <f>IF(e_ecolifetime_yr='Data - economic'!$I$107,0,IF('1. Pathway 1'!R81&gt;=e_ecolifetime_yr,0,IF(ROUNDDOWN(('1. Pathway 1'!R81/'Data - economic'!$I$107),0)=('1. Pathway 1'!R81/'Data - economic'!$I$107),'1. Pathway 1'!$E$87,0)))</f>
        <v>0</v>
      </c>
      <c r="S88" s="226">
        <f>IF(e_ecolifetime_yr='Data - economic'!$I$107,0,IF('1. Pathway 1'!S81&gt;=e_ecolifetime_yr,0,IF(ROUNDDOWN(('1. Pathway 1'!S81/'Data - economic'!$I$107),0)=('1. Pathway 1'!S81/'Data - economic'!$I$107),'1. Pathway 1'!$E$87,0)))</f>
        <v>0</v>
      </c>
      <c r="T88" s="226">
        <f>IF(e_ecolifetime_yr='Data - economic'!$I$107,0,IF('1. Pathway 1'!T81&gt;=e_ecolifetime_yr,0,IF(ROUNDDOWN(('1. Pathway 1'!T81/'Data - economic'!$I$107),0)=('1. Pathway 1'!T81/'Data - economic'!$I$107),'1. Pathway 1'!$E$87,0)))</f>
        <v>0</v>
      </c>
      <c r="U88" s="226">
        <f>IF(e_ecolifetime_yr='Data - economic'!$I$107,0,IF('1. Pathway 1'!U81&gt;=e_ecolifetime_yr,0,IF(ROUNDDOWN(('1. Pathway 1'!U81/'Data - economic'!$I$107),0)=('1. Pathway 1'!U81/'Data - economic'!$I$107),'1. Pathway 1'!$E$87,0)))</f>
        <v>0</v>
      </c>
      <c r="V88" s="226">
        <f>IF(e_ecolifetime_yr='Data - economic'!$I$107,0,IF('1. Pathway 1'!V81&gt;=e_ecolifetime_yr,0,IF(ROUNDDOWN(('1. Pathway 1'!V81/'Data - economic'!$I$107),0)=('1. Pathway 1'!V81/'Data - economic'!$I$107),'1. Pathway 1'!$E$87,0)))</f>
        <v>0</v>
      </c>
      <c r="W88" s="226">
        <f>IF(e_ecolifetime_yr='Data - economic'!$I$107,0,IF('1. Pathway 1'!W81&gt;=e_ecolifetime_yr,0,IF(ROUNDDOWN(('1. Pathway 1'!W81/'Data - economic'!$I$107),0)=('1. Pathway 1'!W81/'Data - economic'!$I$107),'1. Pathway 1'!$E$87,0)))</f>
        <v>0</v>
      </c>
      <c r="X88" s="226">
        <f>IF(e_ecolifetime_yr='Data - economic'!$I$107,0,IF('1. Pathway 1'!X81&gt;=e_ecolifetime_yr,0,IF(ROUNDDOWN(('1. Pathway 1'!X81/'Data - economic'!$I$107),0)=('1. Pathway 1'!X81/'Data - economic'!$I$107),'1. Pathway 1'!$E$87,0)))</f>
        <v>0</v>
      </c>
      <c r="Y88" s="226">
        <f>IF(e_ecolifetime_yr='Data - economic'!$I$107,0,IF('1. Pathway 1'!Y81&gt;=e_ecolifetime_yr,0,IF(ROUNDDOWN(('1. Pathway 1'!Y81/'Data - economic'!$I$107),0)=('1. Pathway 1'!Y81/'Data - economic'!$I$107),'1. Pathway 1'!$E$87,0)))</f>
        <v>0</v>
      </c>
      <c r="Z88" s="226">
        <f>IF(e_ecolifetime_yr='Data - economic'!$I$107,0,IF('1. Pathway 1'!Z81&gt;=e_ecolifetime_yr,0,IF(ROUNDDOWN(('1. Pathway 1'!Z81/'Data - economic'!$I$107),0)=('1. Pathway 1'!Z81/'Data - economic'!$I$107),'1. Pathway 1'!$E$87,0)))</f>
        <v>0</v>
      </c>
      <c r="AA88" s="226">
        <f>IF(e_ecolifetime_yr='Data - economic'!$I$107,0,IF('1. Pathway 1'!AA81&gt;=e_ecolifetime_yr,0,IF(ROUNDDOWN(('1. Pathway 1'!AA81/'Data - economic'!$I$107),0)=('1. Pathway 1'!AA81/'Data - economic'!$I$107),'1. Pathway 1'!$E$87,0)))</f>
        <v>0</v>
      </c>
      <c r="AB88" s="226">
        <f>IF(e_ecolifetime_yr='Data - economic'!$I$107,0,IF('1. Pathway 1'!AB81&gt;=e_ecolifetime_yr,0,IF(ROUNDDOWN(('1. Pathway 1'!AB81/'Data - economic'!$I$107),0)=('1. Pathway 1'!AB81/'Data - economic'!$I$107),'1. Pathway 1'!$E$87,0)))</f>
        <v>0</v>
      </c>
      <c r="AC88" s="226">
        <f>IF(e_ecolifetime_yr='Data - economic'!$I$107,0,IF('1. Pathway 1'!AC81&gt;=e_ecolifetime_yr,0,IF(ROUNDDOWN(('1. Pathway 1'!AC81/'Data - economic'!$I$107),0)=('1. Pathway 1'!AC81/'Data - economic'!$I$107),'1. Pathway 1'!$E$87,0)))</f>
        <v>0</v>
      </c>
      <c r="AD88" s="226">
        <f>IF(e_ecolifetime_yr='Data - economic'!$I$107,0,IF('1. Pathway 1'!AD81&gt;=e_ecolifetime_yr,0,IF(ROUNDDOWN(('1. Pathway 1'!AD81/'Data - economic'!$I$107),0)=('1. Pathway 1'!AD81/'Data - economic'!$I$107),'1. Pathway 1'!$E$87,0)))</f>
        <v>0</v>
      </c>
      <c r="AE88" s="226">
        <f>IF(e_ecolifetime_yr='Data - economic'!$I$107,0,IF('1. Pathway 1'!AE81&gt;=e_ecolifetime_yr,0,IF(ROUNDDOWN(('1. Pathway 1'!AE81/'Data - economic'!$I$107),0)=('1. Pathway 1'!AE81/'Data - economic'!$I$107),'1. Pathway 1'!$E$87,0)))</f>
        <v>0</v>
      </c>
      <c r="AF88" s="226">
        <f>IF(e_ecolifetime_yr='Data - economic'!$I$107,0,IF('1. Pathway 1'!AF81&gt;=e_ecolifetime_yr,0,IF(ROUNDDOWN(('1. Pathway 1'!AF81/'Data - economic'!$I$107),0)=('1. Pathway 1'!AF81/'Data - economic'!$I$107),'1. Pathway 1'!$E$87,0)))</f>
        <v>0</v>
      </c>
      <c r="AG88" s="226">
        <f>IF(e_ecolifetime_yr='Data - economic'!$I$107,0,IF('1. Pathway 1'!AG81&gt;=e_ecolifetime_yr,0,IF(ROUNDDOWN(('1. Pathway 1'!AG81/'Data - economic'!$I$107),0)=('1. Pathway 1'!AG81/'Data - economic'!$I$107),'1. Pathway 1'!$E$87,0)))</f>
        <v>0</v>
      </c>
      <c r="AH88" s="226">
        <f>IF(e_ecolifetime_yr='Data - economic'!$I$107,0,IF('1. Pathway 1'!AH81&gt;=e_ecolifetime_yr,0,IF(ROUNDDOWN(('1. Pathway 1'!AH81/'Data - economic'!$I$107),0)=('1. Pathway 1'!AH81/'Data - economic'!$I$107),'1. Pathway 1'!$E$87,0)))</f>
        <v>0</v>
      </c>
      <c r="AI88" s="228">
        <f>IF(e_ecolifetime_yr='Data - economic'!$I$107,0,IF('1. Pathway 1'!AI81&gt;=e_ecolifetime_yr,0,IF(ROUNDDOWN(('1. Pathway 1'!AI81/'Data - economic'!$I$107),0)=('1. Pathway 1'!AI81/'Data - economic'!$I$107),'1. Pathway 1'!$E$87,0)))</f>
        <v>0</v>
      </c>
    </row>
    <row r="89" spans="2:35" ht="13.8" x14ac:dyDescent="0.3">
      <c r="B89" s="9"/>
      <c r="C89" s="21" t="s">
        <v>243</v>
      </c>
      <c r="D89" s="1" t="s">
        <v>436</v>
      </c>
      <c r="E89" s="223">
        <f>E64*'Data - economic'!I110</f>
        <v>1198775.5102040814</v>
      </c>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5"/>
    </row>
    <row r="90" spans="2:35" x14ac:dyDescent="0.2">
      <c r="B90" s="9"/>
      <c r="C90" s="21"/>
      <c r="D90" s="1" t="s">
        <v>438</v>
      </c>
      <c r="E90" s="226"/>
      <c r="F90" s="226">
        <f>IF(e_ecolifetime_yr='Data - economic'!$I$111,0,IF('1. Pathway 1'!F81&gt;=e_ecolifetime_yr,0,IF(ROUNDDOWN(('1. Pathway 1'!F81/'Data - economic'!$I$111),0)=('1. Pathway 1'!F81/'Data - economic'!$I$111),'1. Pathway 1'!$E$89,0)))</f>
        <v>0</v>
      </c>
      <c r="G90" s="226">
        <f>IF(e_ecolifetime_yr='Data - economic'!$I$111,0,IF('1. Pathway 1'!G81&gt;=e_ecolifetime_yr,0,IF(ROUNDDOWN(('1. Pathway 1'!G81/'Data - economic'!$I$111),0)=('1. Pathway 1'!G81/'Data - economic'!$I$111),'1. Pathway 1'!$E$89,0)))</f>
        <v>0</v>
      </c>
      <c r="H90" s="226">
        <f>IF(e_ecolifetime_yr='Data - economic'!$I$111,0,IF('1. Pathway 1'!H81&gt;=e_ecolifetime_yr,0,IF(ROUNDDOWN(('1. Pathway 1'!H81/'Data - economic'!$I$111),0)=('1. Pathway 1'!H81/'Data - economic'!$I$111),'1. Pathway 1'!$E$89,0)))</f>
        <v>0</v>
      </c>
      <c r="I90" s="226">
        <f>IF(e_ecolifetime_yr='Data - economic'!$I$111,0,IF('1. Pathway 1'!I81&gt;=e_ecolifetime_yr,0,IF(ROUNDDOWN(('1. Pathway 1'!I81/'Data - economic'!$I$111),0)=('1. Pathway 1'!I81/'Data - economic'!$I$111),'1. Pathway 1'!$E$89,0)))</f>
        <v>0</v>
      </c>
      <c r="J90" s="226">
        <f>IF(e_ecolifetime_yr='Data - economic'!$I$111,0,IF('1. Pathway 1'!J81&gt;=e_ecolifetime_yr,0,IF(ROUNDDOWN(('1. Pathway 1'!J81/'Data - economic'!$I$111),0)=('1. Pathway 1'!J81/'Data - economic'!$I$111),'1. Pathway 1'!$E$89,0)))</f>
        <v>0</v>
      </c>
      <c r="K90" s="226">
        <f>IF(e_ecolifetime_yr='Data - economic'!$I$111,0,IF('1. Pathway 1'!K81&gt;=e_ecolifetime_yr,0,IF(ROUNDDOWN(('1. Pathway 1'!K81/'Data - economic'!$I$111),0)=('1. Pathway 1'!K81/'Data - economic'!$I$111),'1. Pathway 1'!$E$89,0)))</f>
        <v>0</v>
      </c>
      <c r="L90" s="226">
        <f>IF(e_ecolifetime_yr='Data - economic'!$I$111,0,IF('1. Pathway 1'!L81&gt;=e_ecolifetime_yr,0,IF(ROUNDDOWN(('1. Pathway 1'!L81/'Data - economic'!$I$111),0)=('1. Pathway 1'!L81/'Data - economic'!$I$111),'1. Pathway 1'!$E$89,0)))</f>
        <v>0</v>
      </c>
      <c r="M90" s="226">
        <f>IF(e_ecolifetime_yr='Data - economic'!$I$111,0,IF('1. Pathway 1'!M81&gt;=e_ecolifetime_yr,0,IF(ROUNDDOWN(('1. Pathway 1'!M81/'Data - economic'!$I$111),0)=('1. Pathway 1'!M81/'Data - economic'!$I$111),'1. Pathway 1'!$E$89,0)))</f>
        <v>0</v>
      </c>
      <c r="N90" s="226">
        <f>IF(e_ecolifetime_yr='Data - economic'!$I$111,0,IF('1. Pathway 1'!N81&gt;=e_ecolifetime_yr,0,IF(ROUNDDOWN(('1. Pathway 1'!N81/'Data - economic'!$I$111),0)=('1. Pathway 1'!N81/'Data - economic'!$I$111),'1. Pathway 1'!$E$89,0)))</f>
        <v>0</v>
      </c>
      <c r="O90" s="226">
        <f>IF(e_ecolifetime_yr='Data - economic'!$I$111,0,IF('1. Pathway 1'!O81&gt;=e_ecolifetime_yr,0,IF(ROUNDDOWN(('1. Pathway 1'!O81/'Data - economic'!$I$111),0)=('1. Pathway 1'!O81/'Data - economic'!$I$111),'1. Pathway 1'!$E$89,0)))</f>
        <v>0</v>
      </c>
      <c r="P90" s="226">
        <f>IF(e_ecolifetime_yr='Data - economic'!$I$111,0,IF('1. Pathway 1'!P81&gt;=e_ecolifetime_yr,0,IF(ROUNDDOWN(('1. Pathway 1'!P81/'Data - economic'!$I$111),0)=('1. Pathway 1'!P81/'Data - economic'!$I$111),'1. Pathway 1'!$E$89,0)))</f>
        <v>0</v>
      </c>
      <c r="Q90" s="226">
        <f>IF(e_ecolifetime_yr='Data - economic'!$I$111,0,IF('1. Pathway 1'!Q81&gt;=e_ecolifetime_yr,0,IF(ROUNDDOWN(('1. Pathway 1'!Q81/'Data - economic'!$I$111),0)=('1. Pathway 1'!Q81/'Data - economic'!$I$111),'1. Pathway 1'!$E$89,0)))</f>
        <v>0</v>
      </c>
      <c r="R90" s="226">
        <f>IF(e_ecolifetime_yr='Data - economic'!$I$111,0,IF('1. Pathway 1'!R81&gt;=e_ecolifetime_yr,0,IF(ROUNDDOWN(('1. Pathway 1'!R81/'Data - economic'!$I$111),0)=('1. Pathway 1'!R81/'Data - economic'!$I$111),'1. Pathway 1'!$E$89,0)))</f>
        <v>0</v>
      </c>
      <c r="S90" s="226">
        <f>IF(e_ecolifetime_yr='Data - economic'!$I$111,0,IF('1. Pathway 1'!S81&gt;=e_ecolifetime_yr,0,IF(ROUNDDOWN(('1. Pathway 1'!S81/'Data - economic'!$I$111),0)=('1. Pathway 1'!S81/'Data - economic'!$I$111),'1. Pathway 1'!$E$89,0)))</f>
        <v>0</v>
      </c>
      <c r="T90" s="226">
        <f>IF(e_ecolifetime_yr='Data - economic'!$I$111,0,IF('1. Pathway 1'!T81&gt;=e_ecolifetime_yr,0,IF(ROUNDDOWN(('1. Pathway 1'!T81/'Data - economic'!$I$111),0)=('1. Pathway 1'!T81/'Data - economic'!$I$111),'1. Pathway 1'!$E$89,0)))</f>
        <v>0</v>
      </c>
      <c r="U90" s="226">
        <f>IF(e_ecolifetime_yr='Data - economic'!$I$111,0,IF('1. Pathway 1'!U81&gt;=e_ecolifetime_yr,0,IF(ROUNDDOWN(('1. Pathway 1'!U81/'Data - economic'!$I$111),0)=('1. Pathway 1'!U81/'Data - economic'!$I$111),'1. Pathway 1'!$E$89,0)))</f>
        <v>0</v>
      </c>
      <c r="V90" s="226">
        <f>IF(e_ecolifetime_yr='Data - economic'!$I$111,0,IF('1. Pathway 1'!V81&gt;=e_ecolifetime_yr,0,IF(ROUNDDOWN(('1. Pathway 1'!V81/'Data - economic'!$I$111),0)=('1. Pathway 1'!V81/'Data - economic'!$I$111),'1. Pathway 1'!$E$89,0)))</f>
        <v>0</v>
      </c>
      <c r="W90" s="226">
        <f>IF(e_ecolifetime_yr='Data - economic'!$I$111,0,IF('1. Pathway 1'!W81&gt;=e_ecolifetime_yr,0,IF(ROUNDDOWN(('1. Pathway 1'!W81/'Data - economic'!$I$111),0)=('1. Pathway 1'!W81/'Data - economic'!$I$111),'1. Pathway 1'!$E$89,0)))</f>
        <v>0</v>
      </c>
      <c r="X90" s="226">
        <f>IF(e_ecolifetime_yr='Data - economic'!$I$111,0,IF('1. Pathway 1'!X81&gt;=e_ecolifetime_yr,0,IF(ROUNDDOWN(('1. Pathway 1'!X81/'Data - economic'!$I$111),0)=('1. Pathway 1'!X81/'Data - economic'!$I$111),'1. Pathway 1'!$E$89,0)))</f>
        <v>0</v>
      </c>
      <c r="Y90" s="226">
        <f>IF(e_ecolifetime_yr='Data - economic'!$I$111,0,IF('1. Pathway 1'!Y81&gt;=e_ecolifetime_yr,0,IF(ROUNDDOWN(('1. Pathway 1'!Y81/'Data - economic'!$I$111),0)=('1. Pathway 1'!Y81/'Data - economic'!$I$111),'1. Pathway 1'!$E$89,0)))</f>
        <v>0</v>
      </c>
      <c r="Z90" s="226">
        <f>IF(e_ecolifetime_yr='Data - economic'!$I$111,0,IF('1. Pathway 1'!Z81&gt;=e_ecolifetime_yr,0,IF(ROUNDDOWN(('1. Pathway 1'!Z81/'Data - economic'!$I$111),0)=('1. Pathway 1'!Z81/'Data - economic'!$I$111),'1. Pathway 1'!$E$89,0)))</f>
        <v>0</v>
      </c>
      <c r="AA90" s="226">
        <f>IF(e_ecolifetime_yr='Data - economic'!$I$111,0,IF('1. Pathway 1'!AA81&gt;=e_ecolifetime_yr,0,IF(ROUNDDOWN(('1. Pathway 1'!AA81/'Data - economic'!$I$111),0)=('1. Pathway 1'!AA81/'Data - economic'!$I$111),'1. Pathway 1'!$E$89,0)))</f>
        <v>0</v>
      </c>
      <c r="AB90" s="226">
        <f>IF(e_ecolifetime_yr='Data - economic'!$I$111,0,IF('1. Pathway 1'!AB81&gt;=e_ecolifetime_yr,0,IF(ROUNDDOWN(('1. Pathway 1'!AB81/'Data - economic'!$I$111),0)=('1. Pathway 1'!AB81/'Data - economic'!$I$111),'1. Pathway 1'!$E$89,0)))</f>
        <v>0</v>
      </c>
      <c r="AC90" s="226">
        <f>IF(e_ecolifetime_yr='Data - economic'!$I$111,0,IF('1. Pathway 1'!AC81&gt;=e_ecolifetime_yr,0,IF(ROUNDDOWN(('1. Pathway 1'!AC81/'Data - economic'!$I$111),0)=('1. Pathway 1'!AC81/'Data - economic'!$I$111),'1. Pathway 1'!$E$89,0)))</f>
        <v>0</v>
      </c>
      <c r="AD90" s="226">
        <f>IF(e_ecolifetime_yr='Data - economic'!$I$111,0,IF('1. Pathway 1'!AD81&gt;=e_ecolifetime_yr,0,IF(ROUNDDOWN(('1. Pathway 1'!AD81/'Data - economic'!$I$111),0)=('1. Pathway 1'!AD81/'Data - economic'!$I$111),'1. Pathway 1'!$E$89,0)))</f>
        <v>0</v>
      </c>
      <c r="AE90" s="226">
        <f>IF(e_ecolifetime_yr='Data - economic'!$I$111,0,IF('1. Pathway 1'!AE81&gt;=e_ecolifetime_yr,0,IF(ROUNDDOWN(('1. Pathway 1'!AE81/'Data - economic'!$I$111),0)=('1. Pathway 1'!AE81/'Data - economic'!$I$111),'1. Pathway 1'!$E$89,0)))</f>
        <v>0</v>
      </c>
      <c r="AF90" s="226">
        <f>IF(e_ecolifetime_yr='Data - economic'!$I$111,0,IF('1. Pathway 1'!AF81&gt;=e_ecolifetime_yr,0,IF(ROUNDDOWN(('1. Pathway 1'!AF81/'Data - economic'!$I$111),0)=('1. Pathway 1'!AF81/'Data - economic'!$I$111),'1. Pathway 1'!$E$89,0)))</f>
        <v>0</v>
      </c>
      <c r="AG90" s="226">
        <f>IF(e_ecolifetime_yr='Data - economic'!$I$111,0,IF('1. Pathway 1'!AG81&gt;=e_ecolifetime_yr,0,IF(ROUNDDOWN(('1. Pathway 1'!AG81/'Data - economic'!$I$111),0)=('1. Pathway 1'!AG81/'Data - economic'!$I$111),'1. Pathway 1'!$E$89,0)))</f>
        <v>0</v>
      </c>
      <c r="AH90" s="226">
        <f>IF(e_ecolifetime_yr='Data - economic'!$I$111,0,IF('1. Pathway 1'!AH81&gt;=e_ecolifetime_yr,0,IF(ROUNDDOWN(('1. Pathway 1'!AH81/'Data - economic'!$I$111),0)=('1. Pathway 1'!AH81/'Data - economic'!$I$111),'1. Pathway 1'!$E$89,0)))</f>
        <v>0</v>
      </c>
      <c r="AI90" s="228">
        <f>IF(e_ecolifetime_yr='Data - economic'!$I$111,0,IF('1. Pathway 1'!AI81&gt;=e_ecolifetime_yr,0,IF(ROUNDDOWN(('1. Pathway 1'!AI81/'Data - economic'!$I$111),0)=('1. Pathway 1'!AI81/'Data - economic'!$I$111),'1. Pathway 1'!$E$89,0)))</f>
        <v>0</v>
      </c>
    </row>
    <row r="91" spans="2:35" s="6" customFormat="1" x14ac:dyDescent="0.2">
      <c r="B91" s="8" t="s">
        <v>441</v>
      </c>
      <c r="C91" s="80"/>
      <c r="D91" s="8"/>
      <c r="E91" s="221"/>
      <c r="F91" s="220">
        <f t="shared" ref="F91:AI91" si="1">SUM(F92:F111)</f>
        <v>9250278.8265306111</v>
      </c>
      <c r="G91" s="220">
        <f t="shared" si="1"/>
        <v>9250278.8265306111</v>
      </c>
      <c r="H91" s="220">
        <f t="shared" si="1"/>
        <v>9250278.8265306111</v>
      </c>
      <c r="I91" s="220">
        <f t="shared" si="1"/>
        <v>9250278.8265306111</v>
      </c>
      <c r="J91" s="220">
        <f t="shared" si="1"/>
        <v>9250278.8265306111</v>
      </c>
      <c r="K91" s="220">
        <f t="shared" si="1"/>
        <v>9250278.8265306111</v>
      </c>
      <c r="L91" s="220">
        <f t="shared" si="1"/>
        <v>9250278.8265306111</v>
      </c>
      <c r="M91" s="220">
        <f t="shared" si="1"/>
        <v>9250278.8265306111</v>
      </c>
      <c r="N91" s="220">
        <f t="shared" si="1"/>
        <v>9250278.8265306111</v>
      </c>
      <c r="O91" s="220">
        <f t="shared" si="1"/>
        <v>9250278.8265306111</v>
      </c>
      <c r="P91" s="220">
        <f t="shared" si="1"/>
        <v>9250278.8265306111</v>
      </c>
      <c r="Q91" s="220">
        <f t="shared" si="1"/>
        <v>9250278.8265306111</v>
      </c>
      <c r="R91" s="220">
        <f t="shared" si="1"/>
        <v>9250278.8265306111</v>
      </c>
      <c r="S91" s="220">
        <f t="shared" si="1"/>
        <v>9250278.8265306111</v>
      </c>
      <c r="T91" s="220">
        <f t="shared" si="1"/>
        <v>9250278.8265306111</v>
      </c>
      <c r="U91" s="220">
        <f t="shared" si="1"/>
        <v>0</v>
      </c>
      <c r="V91" s="220">
        <f t="shared" si="1"/>
        <v>0</v>
      </c>
      <c r="W91" s="220">
        <f t="shared" si="1"/>
        <v>0</v>
      </c>
      <c r="X91" s="220">
        <f t="shared" si="1"/>
        <v>0</v>
      </c>
      <c r="Y91" s="220">
        <f t="shared" si="1"/>
        <v>0</v>
      </c>
      <c r="Z91" s="220">
        <f t="shared" si="1"/>
        <v>0</v>
      </c>
      <c r="AA91" s="220">
        <f t="shared" si="1"/>
        <v>0</v>
      </c>
      <c r="AB91" s="220">
        <f t="shared" si="1"/>
        <v>0</v>
      </c>
      <c r="AC91" s="220">
        <f t="shared" si="1"/>
        <v>0</v>
      </c>
      <c r="AD91" s="220">
        <f t="shared" si="1"/>
        <v>0</v>
      </c>
      <c r="AE91" s="220">
        <f t="shared" si="1"/>
        <v>0</v>
      </c>
      <c r="AF91" s="220">
        <f t="shared" si="1"/>
        <v>0</v>
      </c>
      <c r="AG91" s="220">
        <f t="shared" si="1"/>
        <v>0</v>
      </c>
      <c r="AH91" s="220">
        <f t="shared" si="1"/>
        <v>0</v>
      </c>
      <c r="AI91" s="229">
        <f t="shared" si="1"/>
        <v>0</v>
      </c>
    </row>
    <row r="92" spans="2:35" x14ac:dyDescent="0.2">
      <c r="B92" s="9"/>
      <c r="C92" s="21" t="s">
        <v>330</v>
      </c>
      <c r="D92" s="1" t="s">
        <v>442</v>
      </c>
      <c r="E92" s="226"/>
      <c r="F92" s="223">
        <f>IF(F81&gt;e_ecolifetime_yr,0,$E$82*'Data - economic'!$I$41)</f>
        <v>108223.7244897959</v>
      </c>
      <c r="G92" s="223">
        <f>IF(G81&gt;e_ecolifetime_yr,0,$E$82*'Data - economic'!$I$41)</f>
        <v>108223.7244897959</v>
      </c>
      <c r="H92" s="223">
        <f>IF(H81&gt;e_ecolifetime_yr,0,$E$82*'Data - economic'!$I$41)</f>
        <v>108223.7244897959</v>
      </c>
      <c r="I92" s="223">
        <f>IF(I81&gt;e_ecolifetime_yr,0,$E$82*'Data - economic'!$I$41)</f>
        <v>108223.7244897959</v>
      </c>
      <c r="J92" s="223">
        <f>IF(J81&gt;e_ecolifetime_yr,0,$E$82*'Data - economic'!$I$41)</f>
        <v>108223.7244897959</v>
      </c>
      <c r="K92" s="223">
        <f>IF(K81&gt;e_ecolifetime_yr,0,$E$82*'Data - economic'!$I$41)</f>
        <v>108223.7244897959</v>
      </c>
      <c r="L92" s="223">
        <f>IF(L81&gt;e_ecolifetime_yr,0,$E$82*'Data - economic'!$I$41)</f>
        <v>108223.7244897959</v>
      </c>
      <c r="M92" s="223">
        <f>IF(M81&gt;e_ecolifetime_yr,0,$E$82*'Data - economic'!$I$41)</f>
        <v>108223.7244897959</v>
      </c>
      <c r="N92" s="223">
        <f>IF(N81&gt;e_ecolifetime_yr,0,$E$82*'Data - economic'!$I$41)</f>
        <v>108223.7244897959</v>
      </c>
      <c r="O92" s="223">
        <f>IF(O81&gt;e_ecolifetime_yr,0,$E$82*'Data - economic'!$I$41)</f>
        <v>108223.7244897959</v>
      </c>
      <c r="P92" s="223">
        <f>IF(P81&gt;e_ecolifetime_yr,0,$E$82*'Data - economic'!$I$41)</f>
        <v>108223.7244897959</v>
      </c>
      <c r="Q92" s="223">
        <f>IF(Q81&gt;e_ecolifetime_yr,0,$E$82*'Data - economic'!$I$41)</f>
        <v>108223.7244897959</v>
      </c>
      <c r="R92" s="223">
        <f>IF(R81&gt;e_ecolifetime_yr,0,$E$82*'Data - economic'!$I$41)</f>
        <v>108223.7244897959</v>
      </c>
      <c r="S92" s="223">
        <f>IF(S81&gt;e_ecolifetime_yr,0,$E$82*'Data - economic'!$I$41)</f>
        <v>108223.7244897959</v>
      </c>
      <c r="T92" s="223">
        <f>IF(T81&gt;e_ecolifetime_yr,0,$E$82*'Data - economic'!$I$41)</f>
        <v>108223.7244897959</v>
      </c>
      <c r="U92" s="223">
        <f>IF(U81&gt;e_ecolifetime_yr,0,$E$82*'Data - economic'!$I$41)</f>
        <v>0</v>
      </c>
      <c r="V92" s="223">
        <f>IF(V81&gt;e_ecolifetime_yr,0,$E$82*'Data - economic'!$I$41)</f>
        <v>0</v>
      </c>
      <c r="W92" s="223">
        <f>IF(W81&gt;e_ecolifetime_yr,0,$E$82*'Data - economic'!$I$41)</f>
        <v>0</v>
      </c>
      <c r="X92" s="223">
        <f>IF(X81&gt;e_ecolifetime_yr,0,$E$82*'Data - economic'!$I$41)</f>
        <v>0</v>
      </c>
      <c r="Y92" s="223">
        <f>IF(Y81&gt;e_ecolifetime_yr,0,$E$82*'Data - economic'!$I$41)</f>
        <v>0</v>
      </c>
      <c r="Z92" s="223">
        <f>IF(Z81&gt;e_ecolifetime_yr,0,$E$82*'Data - economic'!$I$41)</f>
        <v>0</v>
      </c>
      <c r="AA92" s="223">
        <f>IF(AA81&gt;e_ecolifetime_yr,0,$E$82*'Data - economic'!$I$41)</f>
        <v>0</v>
      </c>
      <c r="AB92" s="223">
        <f>IF(AB81&gt;e_ecolifetime_yr,0,$E$82*'Data - economic'!$I$41)</f>
        <v>0</v>
      </c>
      <c r="AC92" s="223">
        <f>IF(AC81&gt;e_ecolifetime_yr,0,$E$82*'Data - economic'!$I$41)</f>
        <v>0</v>
      </c>
      <c r="AD92" s="223">
        <f>IF(AD81&gt;e_ecolifetime_yr,0,$E$82*'Data - economic'!$I$41)</f>
        <v>0</v>
      </c>
      <c r="AE92" s="223">
        <f>IF(AE81&gt;e_ecolifetime_yr,0,$E$82*'Data - economic'!$I$41)</f>
        <v>0</v>
      </c>
      <c r="AF92" s="223">
        <f>IF(AF81&gt;e_ecolifetime_yr,0,$E$82*'Data - economic'!$I$41)</f>
        <v>0</v>
      </c>
      <c r="AG92" s="223">
        <f>IF(AG81&gt;e_ecolifetime_yr,0,$E$82*'Data - economic'!$I$41)</f>
        <v>0</v>
      </c>
      <c r="AH92" s="223">
        <f>IF(AH81&gt;e_ecolifetime_yr,0,$E$82*'Data - economic'!$I$41)</f>
        <v>0</v>
      </c>
      <c r="AI92" s="227">
        <f>IF(AI81&gt;e_ecolifetime_yr,0,$E$82*'Data - economic'!$I$41)</f>
        <v>0</v>
      </c>
    </row>
    <row r="93" spans="2:35" x14ac:dyDescent="0.2">
      <c r="B93" s="9"/>
      <c r="C93" s="21"/>
      <c r="D93" s="1" t="s">
        <v>443</v>
      </c>
      <c r="E93" s="226"/>
      <c r="F93" s="223">
        <f>IF(F81&gt;e_ecolifetime_yr,0,$E$82*'Data - economic'!$I$42)</f>
        <v>541118.62244897953</v>
      </c>
      <c r="G93" s="223">
        <f>IF(G81&gt;e_ecolifetime_yr,0,$E$82*'Data - economic'!$I$42)</f>
        <v>541118.62244897953</v>
      </c>
      <c r="H93" s="223">
        <f>IF(H81&gt;e_ecolifetime_yr,0,$E$82*'Data - economic'!$I$42)</f>
        <v>541118.62244897953</v>
      </c>
      <c r="I93" s="223">
        <f>IF(I81&gt;e_ecolifetime_yr,0,$E$82*'Data - economic'!$I$42)</f>
        <v>541118.62244897953</v>
      </c>
      <c r="J93" s="223">
        <f>IF(J81&gt;e_ecolifetime_yr,0,$E$82*'Data - economic'!$I$42)</f>
        <v>541118.62244897953</v>
      </c>
      <c r="K93" s="223">
        <f>IF(K81&gt;e_ecolifetime_yr,0,$E$82*'Data - economic'!$I$42)</f>
        <v>541118.62244897953</v>
      </c>
      <c r="L93" s="223">
        <f>IF(L81&gt;e_ecolifetime_yr,0,$E$82*'Data - economic'!$I$42)</f>
        <v>541118.62244897953</v>
      </c>
      <c r="M93" s="223">
        <f>IF(M81&gt;e_ecolifetime_yr,0,$E$82*'Data - economic'!$I$42)</f>
        <v>541118.62244897953</v>
      </c>
      <c r="N93" s="223">
        <f>IF(N81&gt;e_ecolifetime_yr,0,$E$82*'Data - economic'!$I$42)</f>
        <v>541118.62244897953</v>
      </c>
      <c r="O93" s="223">
        <f>IF(O81&gt;e_ecolifetime_yr,0,$E$82*'Data - economic'!$I$42)</f>
        <v>541118.62244897953</v>
      </c>
      <c r="P93" s="223">
        <f>IF(P81&gt;e_ecolifetime_yr,0,$E$82*'Data - economic'!$I$42)</f>
        <v>541118.62244897953</v>
      </c>
      <c r="Q93" s="223">
        <f>IF(Q81&gt;e_ecolifetime_yr,0,$E$82*'Data - economic'!$I$42)</f>
        <v>541118.62244897953</v>
      </c>
      <c r="R93" s="223">
        <f>IF(R81&gt;e_ecolifetime_yr,0,$E$82*'Data - economic'!$I$42)</f>
        <v>541118.62244897953</v>
      </c>
      <c r="S93" s="223">
        <f>IF(S81&gt;e_ecolifetime_yr,0,$E$82*'Data - economic'!$I$42)</f>
        <v>541118.62244897953</v>
      </c>
      <c r="T93" s="223">
        <f>IF(T81&gt;e_ecolifetime_yr,0,$E$82*'Data - economic'!$I$42)</f>
        <v>541118.62244897953</v>
      </c>
      <c r="U93" s="223">
        <f>IF(U81&gt;e_ecolifetime_yr,0,$E$82*'Data - economic'!$I$42)</f>
        <v>0</v>
      </c>
      <c r="V93" s="223">
        <f>IF(V81&gt;e_ecolifetime_yr,0,$E$82*'Data - economic'!$I$42)</f>
        <v>0</v>
      </c>
      <c r="W93" s="223">
        <f>IF(W81&gt;e_ecolifetime_yr,0,$E$82*'Data - economic'!$I$42)</f>
        <v>0</v>
      </c>
      <c r="X93" s="223">
        <f>IF(X81&gt;e_ecolifetime_yr,0,$E$82*'Data - economic'!$I$42)</f>
        <v>0</v>
      </c>
      <c r="Y93" s="223">
        <f>IF(Y81&gt;e_ecolifetime_yr,0,$E$82*'Data - economic'!$I$42)</f>
        <v>0</v>
      </c>
      <c r="Z93" s="223">
        <f>IF(Z81&gt;e_ecolifetime_yr,0,$E$82*'Data - economic'!$I$42)</f>
        <v>0</v>
      </c>
      <c r="AA93" s="223">
        <f>IF(AA81&gt;e_ecolifetime_yr,0,$E$82*'Data - economic'!$I$42)</f>
        <v>0</v>
      </c>
      <c r="AB93" s="223">
        <f>IF(AB81&gt;e_ecolifetime_yr,0,$E$82*'Data - economic'!$I$42)</f>
        <v>0</v>
      </c>
      <c r="AC93" s="223">
        <f>IF(AC81&gt;e_ecolifetime_yr,0,$E$82*'Data - economic'!$I$42)</f>
        <v>0</v>
      </c>
      <c r="AD93" s="223">
        <f>IF(AD81&gt;e_ecolifetime_yr,0,$E$82*'Data - economic'!$I$42)</f>
        <v>0</v>
      </c>
      <c r="AE93" s="223">
        <f>IF(AE81&gt;e_ecolifetime_yr,0,$E$82*'Data - economic'!$I$42)</f>
        <v>0</v>
      </c>
      <c r="AF93" s="223">
        <f>IF(AF81&gt;e_ecolifetime_yr,0,$E$82*'Data - economic'!$I$42)</f>
        <v>0</v>
      </c>
      <c r="AG93" s="223">
        <f>IF(AG81&gt;e_ecolifetime_yr,0,$E$82*'Data - economic'!$I$42)</f>
        <v>0</v>
      </c>
      <c r="AH93" s="223">
        <f>IF(AH81&gt;e_ecolifetime_yr,0,$E$82*'Data - economic'!$I$42)</f>
        <v>0</v>
      </c>
      <c r="AI93" s="227">
        <f>IF(AI81&gt;e_ecolifetime_yr,0,$E$82*'Data - economic'!$I$42)</f>
        <v>0</v>
      </c>
    </row>
    <row r="94" spans="2:35" x14ac:dyDescent="0.2">
      <c r="B94" s="9"/>
      <c r="C94" s="21"/>
      <c r="D94" s="1" t="s">
        <v>444</v>
      </c>
      <c r="E94" s="226"/>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7"/>
    </row>
    <row r="95" spans="2:35" x14ac:dyDescent="0.2">
      <c r="B95" s="9"/>
      <c r="C95" s="21"/>
      <c r="D95" s="1" t="s">
        <v>445</v>
      </c>
      <c r="E95" s="226"/>
      <c r="F95" s="223">
        <f>IF(F81&gt;e_ecolifetime_yr,0,('1. Pathway 1'!$F$94+'1. Pathway 1'!$F$93)*'Data - economic'!$I$43)</f>
        <v>324671.17346938769</v>
      </c>
      <c r="G95" s="223">
        <f>IF(G81&gt;e_ecolifetime_yr,0,('1. Pathway 1'!$F$94+'1. Pathway 1'!$F$93)*'Data - economic'!$I$43)</f>
        <v>324671.17346938769</v>
      </c>
      <c r="H95" s="223">
        <f>IF(H81&gt;e_ecolifetime_yr,0,('1. Pathway 1'!$F$94+'1. Pathway 1'!$F$93)*'Data - economic'!$I$43)</f>
        <v>324671.17346938769</v>
      </c>
      <c r="I95" s="223">
        <f>IF(I81&gt;e_ecolifetime_yr,0,('1. Pathway 1'!$F$94+'1. Pathway 1'!$F$93)*'Data - economic'!$I$43)</f>
        <v>324671.17346938769</v>
      </c>
      <c r="J95" s="223">
        <f>IF(J81&gt;e_ecolifetime_yr,0,('1. Pathway 1'!$F$94+'1. Pathway 1'!$F$93)*'Data - economic'!$I$43)</f>
        <v>324671.17346938769</v>
      </c>
      <c r="K95" s="223">
        <f>IF(K81&gt;e_ecolifetime_yr,0,('1. Pathway 1'!$F$94+'1. Pathway 1'!$F$93)*'Data - economic'!$I$43)</f>
        <v>324671.17346938769</v>
      </c>
      <c r="L95" s="223">
        <f>IF(L81&gt;e_ecolifetime_yr,0,('1. Pathway 1'!$F$94+'1. Pathway 1'!$F$93)*'Data - economic'!$I$43)</f>
        <v>324671.17346938769</v>
      </c>
      <c r="M95" s="223">
        <f>IF(M81&gt;e_ecolifetime_yr,0,('1. Pathway 1'!$F$94+'1. Pathway 1'!$F$93)*'Data - economic'!$I$43)</f>
        <v>324671.17346938769</v>
      </c>
      <c r="N95" s="223">
        <f>IF(N81&gt;e_ecolifetime_yr,0,('1. Pathway 1'!$F$94+'1. Pathway 1'!$F$93)*'Data - economic'!$I$43)</f>
        <v>324671.17346938769</v>
      </c>
      <c r="O95" s="223">
        <f>IF(O81&gt;e_ecolifetime_yr,0,('1. Pathway 1'!$F$94+'1. Pathway 1'!$F$93)*'Data - economic'!$I$43)</f>
        <v>324671.17346938769</v>
      </c>
      <c r="P95" s="223">
        <f>IF(P81&gt;e_ecolifetime_yr,0,('1. Pathway 1'!$F$94+'1. Pathway 1'!$F$93)*'Data - economic'!$I$43)</f>
        <v>324671.17346938769</v>
      </c>
      <c r="Q95" s="223">
        <f>IF(Q81&gt;e_ecolifetime_yr,0,('1. Pathway 1'!$F$94+'1. Pathway 1'!$F$93)*'Data - economic'!$I$43)</f>
        <v>324671.17346938769</v>
      </c>
      <c r="R95" s="223">
        <f>IF(R81&gt;e_ecolifetime_yr,0,('1. Pathway 1'!$F$94+'1. Pathway 1'!$F$93)*'Data - economic'!$I$43)</f>
        <v>324671.17346938769</v>
      </c>
      <c r="S95" s="223">
        <f>IF(S81&gt;e_ecolifetime_yr,0,('1. Pathway 1'!$F$94+'1. Pathway 1'!$F$93)*'Data - economic'!$I$43)</f>
        <v>324671.17346938769</v>
      </c>
      <c r="T95" s="223">
        <f>IF(T81&gt;e_ecolifetime_yr,0,('1. Pathway 1'!$F$94+'1. Pathway 1'!$F$93)*'Data - economic'!$I$43)</f>
        <v>324671.17346938769</v>
      </c>
      <c r="U95" s="223">
        <f>IF(U81&gt;e_ecolifetime_yr,0,('1. Pathway 1'!$F$94+'1. Pathway 1'!$F$93)*'Data - economic'!$I$43)</f>
        <v>0</v>
      </c>
      <c r="V95" s="223">
        <f>IF(V81&gt;e_ecolifetime_yr,0,('1. Pathway 1'!$F$94+'1. Pathway 1'!$F$93)*'Data - economic'!$I$43)</f>
        <v>0</v>
      </c>
      <c r="W95" s="223">
        <f>IF(W81&gt;e_ecolifetime_yr,0,('1. Pathway 1'!$F$94+'1. Pathway 1'!$F$93)*'Data - economic'!$I$43)</f>
        <v>0</v>
      </c>
      <c r="X95" s="223">
        <f>IF(X81&gt;e_ecolifetime_yr,0,('1. Pathway 1'!$F$94+'1. Pathway 1'!$F$93)*'Data - economic'!$I$43)</f>
        <v>0</v>
      </c>
      <c r="Y95" s="223">
        <f>IF(Y81&gt;e_ecolifetime_yr,0,('1. Pathway 1'!$F$94+'1. Pathway 1'!$F$93)*'Data - economic'!$I$43)</f>
        <v>0</v>
      </c>
      <c r="Z95" s="223">
        <f>IF(Z81&gt;e_ecolifetime_yr,0,('1. Pathway 1'!$F$94+'1. Pathway 1'!$F$93)*'Data - economic'!$I$43)</f>
        <v>0</v>
      </c>
      <c r="AA95" s="223">
        <f>IF(AA81&gt;e_ecolifetime_yr,0,('1. Pathway 1'!$F$94+'1. Pathway 1'!$F$93)*'Data - economic'!$I$43)</f>
        <v>0</v>
      </c>
      <c r="AB95" s="223">
        <f>IF(AB81&gt;e_ecolifetime_yr,0,('1. Pathway 1'!$F$94+'1. Pathway 1'!$F$93)*'Data - economic'!$I$43)</f>
        <v>0</v>
      </c>
      <c r="AC95" s="223">
        <f>IF(AC81&gt;e_ecolifetime_yr,0,('1. Pathway 1'!$F$94+'1. Pathway 1'!$F$93)*'Data - economic'!$I$43)</f>
        <v>0</v>
      </c>
      <c r="AD95" s="223">
        <f>IF(AD81&gt;e_ecolifetime_yr,0,('1. Pathway 1'!$F$94+'1. Pathway 1'!$F$93)*'Data - economic'!$I$43)</f>
        <v>0</v>
      </c>
      <c r="AE95" s="223">
        <f>IF(AE81&gt;e_ecolifetime_yr,0,('1. Pathway 1'!$F$94+'1. Pathway 1'!$F$93)*'Data - economic'!$I$43)</f>
        <v>0</v>
      </c>
      <c r="AF95" s="223">
        <f>IF(AF81&gt;e_ecolifetime_yr,0,('1. Pathway 1'!$F$94+'1. Pathway 1'!$F$93)*'Data - economic'!$I$43)</f>
        <v>0</v>
      </c>
      <c r="AG95" s="223">
        <f>IF(AG81&gt;e_ecolifetime_yr,0,('1. Pathway 1'!$F$94+'1. Pathway 1'!$F$93)*'Data - economic'!$I$43)</f>
        <v>0</v>
      </c>
      <c r="AH95" s="223">
        <f>IF(AH81&gt;e_ecolifetime_yr,0,('1. Pathway 1'!$F$94+'1. Pathway 1'!$F$93)*'Data - economic'!$I$43)</f>
        <v>0</v>
      </c>
      <c r="AI95" s="227">
        <f>IF(AI81&gt;e_ecolifetime_yr,0,('1. Pathway 1'!$F$94+'1. Pathway 1'!$F$93)*'Data - economic'!$I$43)</f>
        <v>0</v>
      </c>
    </row>
    <row r="96" spans="2:35" x14ac:dyDescent="0.2">
      <c r="B96" s="9"/>
      <c r="C96" s="21"/>
      <c r="D96" s="1" t="s">
        <v>304</v>
      </c>
      <c r="E96" s="226"/>
      <c r="F96" s="223">
        <f>IF(F81&gt;e_ecolifetime_yr,0,'1. Pathway 1'!$F$94*'Data - economic'!$I$44)</f>
        <v>0</v>
      </c>
      <c r="G96" s="223">
        <f>IF(G81&gt;e_ecolifetime_yr,0,'1. Pathway 1'!$F$94*'Data - economic'!$I$44)</f>
        <v>0</v>
      </c>
      <c r="H96" s="223">
        <f>IF(H81&gt;e_ecolifetime_yr,0,'1. Pathway 1'!$F$94*'Data - economic'!$I$44)</f>
        <v>0</v>
      </c>
      <c r="I96" s="223">
        <f>IF(I81&gt;e_ecolifetime_yr,0,'1. Pathway 1'!$F$94*'Data - economic'!$I$44)</f>
        <v>0</v>
      </c>
      <c r="J96" s="223">
        <f>IF(J81&gt;e_ecolifetime_yr,0,'1. Pathway 1'!$F$94*'Data - economic'!$I$44)</f>
        <v>0</v>
      </c>
      <c r="K96" s="223">
        <f>IF(K81&gt;e_ecolifetime_yr,0,'1. Pathway 1'!$F$94*'Data - economic'!$I$44)</f>
        <v>0</v>
      </c>
      <c r="L96" s="223">
        <f>IF(L81&gt;e_ecolifetime_yr,0,'1. Pathway 1'!$F$94*'Data - economic'!$I$44)</f>
        <v>0</v>
      </c>
      <c r="M96" s="223">
        <f>IF(M81&gt;e_ecolifetime_yr,0,'1. Pathway 1'!$F$94*'Data - economic'!$I$44)</f>
        <v>0</v>
      </c>
      <c r="N96" s="223">
        <f>IF(N81&gt;e_ecolifetime_yr,0,'1. Pathway 1'!$F$94*'Data - economic'!$I$44)</f>
        <v>0</v>
      </c>
      <c r="O96" s="223">
        <f>IF(O81&gt;e_ecolifetime_yr,0,'1. Pathway 1'!$F$94*'Data - economic'!$I$44)</f>
        <v>0</v>
      </c>
      <c r="P96" s="223">
        <f>IF(P81&gt;e_ecolifetime_yr,0,'1. Pathway 1'!$F$94*'Data - economic'!$I$44)</f>
        <v>0</v>
      </c>
      <c r="Q96" s="223">
        <f>IF(Q81&gt;e_ecolifetime_yr,0,'1. Pathway 1'!$F$94*'Data - economic'!$I$44)</f>
        <v>0</v>
      </c>
      <c r="R96" s="223">
        <f>IF(R81&gt;e_ecolifetime_yr,0,'1. Pathway 1'!$F$94*'Data - economic'!$I$44)</f>
        <v>0</v>
      </c>
      <c r="S96" s="223">
        <f>IF(S81&gt;e_ecolifetime_yr,0,'1. Pathway 1'!$F$94*'Data - economic'!$I$44)</f>
        <v>0</v>
      </c>
      <c r="T96" s="223">
        <f>IF(T81&gt;e_ecolifetime_yr,0,'1. Pathway 1'!$F$94*'Data - economic'!$I$44)</f>
        <v>0</v>
      </c>
      <c r="U96" s="223">
        <f>IF(U81&gt;e_ecolifetime_yr,0,'1. Pathway 1'!$F$94*'Data - economic'!$I$44)</f>
        <v>0</v>
      </c>
      <c r="V96" s="223">
        <f>IF(V81&gt;e_ecolifetime_yr,0,'1. Pathway 1'!$F$94*'Data - economic'!$I$44)</f>
        <v>0</v>
      </c>
      <c r="W96" s="223">
        <f>IF(W81&gt;e_ecolifetime_yr,0,'1. Pathway 1'!$F$94*'Data - economic'!$I$44)</f>
        <v>0</v>
      </c>
      <c r="X96" s="223">
        <f>IF(X81&gt;e_ecolifetime_yr,0,'1. Pathway 1'!$F$94*'Data - economic'!$I$44)</f>
        <v>0</v>
      </c>
      <c r="Y96" s="223">
        <f>IF(Y81&gt;e_ecolifetime_yr,0,'1. Pathway 1'!$F$94*'Data - economic'!$I$44)</f>
        <v>0</v>
      </c>
      <c r="Z96" s="223">
        <f>IF(Z81&gt;e_ecolifetime_yr,0,'1. Pathway 1'!$F$94*'Data - economic'!$I$44)</f>
        <v>0</v>
      </c>
      <c r="AA96" s="223">
        <f>IF(AA81&gt;e_ecolifetime_yr,0,'1. Pathway 1'!$F$94*'Data - economic'!$I$44)</f>
        <v>0</v>
      </c>
      <c r="AB96" s="223">
        <f>IF(AB81&gt;e_ecolifetime_yr,0,'1. Pathway 1'!$F$94*'Data - economic'!$I$44)</f>
        <v>0</v>
      </c>
      <c r="AC96" s="223">
        <f>IF(AC81&gt;e_ecolifetime_yr,0,'1. Pathway 1'!$F$94*'Data - economic'!$I$44)</f>
        <v>0</v>
      </c>
      <c r="AD96" s="223">
        <f>IF(AD81&gt;e_ecolifetime_yr,0,'1. Pathway 1'!$F$94*'Data - economic'!$I$44)</f>
        <v>0</v>
      </c>
      <c r="AE96" s="223">
        <f>IF(AE81&gt;e_ecolifetime_yr,0,'1. Pathway 1'!$F$94*'Data - economic'!$I$44)</f>
        <v>0</v>
      </c>
      <c r="AF96" s="223">
        <f>IF(AF81&gt;e_ecolifetime_yr,0,'1. Pathway 1'!$F$94*'Data - economic'!$I$44)</f>
        <v>0</v>
      </c>
      <c r="AG96" s="223">
        <f>IF(AG81&gt;e_ecolifetime_yr,0,'1. Pathway 1'!$F$94*'Data - economic'!$I$44)</f>
        <v>0</v>
      </c>
      <c r="AH96" s="223">
        <f>IF(AH81&gt;e_ecolifetime_yr,0,'1. Pathway 1'!$F$94*'Data - economic'!$I$44)</f>
        <v>0</v>
      </c>
      <c r="AI96" s="227">
        <f>IF(AI81&gt;e_ecolifetime_yr,0,'1. Pathway 1'!$F$94*'Data - economic'!$I$44)</f>
        <v>0</v>
      </c>
    </row>
    <row r="97" spans="2:35" x14ac:dyDescent="0.2">
      <c r="B97" s="9"/>
      <c r="C97" s="21"/>
      <c r="D97" s="1" t="s">
        <v>306</v>
      </c>
      <c r="E97" s="226"/>
      <c r="F97" s="223">
        <f>IF(F81&gt;e_ecolifetime_yr,0,'1. Pathway 1'!$F$94*'Data - economic'!$I$45)</f>
        <v>0</v>
      </c>
      <c r="G97" s="223">
        <f>IF(G81&gt;e_ecolifetime_yr,0,'1. Pathway 1'!$F$94*'Data - economic'!$I$45)</f>
        <v>0</v>
      </c>
      <c r="H97" s="223">
        <f>IF(H81&gt;e_ecolifetime_yr,0,'1. Pathway 1'!$F$94*'Data - economic'!$I$45)</f>
        <v>0</v>
      </c>
      <c r="I97" s="223">
        <f>IF(I81&gt;e_ecolifetime_yr,0,'1. Pathway 1'!$F$94*'Data - economic'!$I$45)</f>
        <v>0</v>
      </c>
      <c r="J97" s="223">
        <f>IF(J81&gt;e_ecolifetime_yr,0,'1. Pathway 1'!$F$94*'Data - economic'!$I$45)</f>
        <v>0</v>
      </c>
      <c r="K97" s="223">
        <f>IF(K81&gt;e_ecolifetime_yr,0,'1. Pathway 1'!$F$94*'Data - economic'!$I$45)</f>
        <v>0</v>
      </c>
      <c r="L97" s="223">
        <f>IF(L81&gt;e_ecolifetime_yr,0,'1. Pathway 1'!$F$94*'Data - economic'!$I$45)</f>
        <v>0</v>
      </c>
      <c r="M97" s="223">
        <f>IF(M81&gt;e_ecolifetime_yr,0,'1. Pathway 1'!$F$94*'Data - economic'!$I$45)</f>
        <v>0</v>
      </c>
      <c r="N97" s="223">
        <f>IF(N81&gt;e_ecolifetime_yr,0,'1. Pathway 1'!$F$94*'Data - economic'!$I$45)</f>
        <v>0</v>
      </c>
      <c r="O97" s="223">
        <f>IF(O81&gt;e_ecolifetime_yr,0,'1. Pathway 1'!$F$94*'Data - economic'!$I$45)</f>
        <v>0</v>
      </c>
      <c r="P97" s="223">
        <f>IF(P81&gt;e_ecolifetime_yr,0,'1. Pathway 1'!$F$94*'Data - economic'!$I$45)</f>
        <v>0</v>
      </c>
      <c r="Q97" s="223">
        <f>IF(Q81&gt;e_ecolifetime_yr,0,'1. Pathway 1'!$F$94*'Data - economic'!$I$45)</f>
        <v>0</v>
      </c>
      <c r="R97" s="223">
        <f>IF(R81&gt;e_ecolifetime_yr,0,'1. Pathway 1'!$F$94*'Data - economic'!$I$45)</f>
        <v>0</v>
      </c>
      <c r="S97" s="223">
        <f>IF(S81&gt;e_ecolifetime_yr,0,'1. Pathway 1'!$F$94*'Data - economic'!$I$45)</f>
        <v>0</v>
      </c>
      <c r="T97" s="223">
        <f>IF(T81&gt;e_ecolifetime_yr,0,'1. Pathway 1'!$F$94*'Data - economic'!$I$45)</f>
        <v>0</v>
      </c>
      <c r="U97" s="223">
        <f>IF(U81&gt;e_ecolifetime_yr,0,'1. Pathway 1'!$F$94*'Data - economic'!$I$45)</f>
        <v>0</v>
      </c>
      <c r="V97" s="223">
        <f>IF(V81&gt;e_ecolifetime_yr,0,'1. Pathway 1'!$F$94*'Data - economic'!$I$45)</f>
        <v>0</v>
      </c>
      <c r="W97" s="223">
        <f>IF(W81&gt;e_ecolifetime_yr,0,'1. Pathway 1'!$F$94*'Data - economic'!$I$45)</f>
        <v>0</v>
      </c>
      <c r="X97" s="223">
        <f>IF(X81&gt;e_ecolifetime_yr,0,'1. Pathway 1'!$F$94*'Data - economic'!$I$45)</f>
        <v>0</v>
      </c>
      <c r="Y97" s="223">
        <f>IF(Y81&gt;e_ecolifetime_yr,0,'1. Pathway 1'!$F$94*'Data - economic'!$I$45)</f>
        <v>0</v>
      </c>
      <c r="Z97" s="223">
        <f>IF(Z81&gt;e_ecolifetime_yr,0,'1. Pathway 1'!$F$94*'Data - economic'!$I$45)</f>
        <v>0</v>
      </c>
      <c r="AA97" s="223">
        <f>IF(AA81&gt;e_ecolifetime_yr,0,'1. Pathway 1'!$F$94*'Data - economic'!$I$45)</f>
        <v>0</v>
      </c>
      <c r="AB97" s="223">
        <f>IF(AB81&gt;e_ecolifetime_yr,0,'1. Pathway 1'!$F$94*'Data - economic'!$I$45)</f>
        <v>0</v>
      </c>
      <c r="AC97" s="223">
        <f>IF(AC81&gt;e_ecolifetime_yr,0,'1. Pathway 1'!$F$94*'Data - economic'!$I$45)</f>
        <v>0</v>
      </c>
      <c r="AD97" s="223">
        <f>IF(AD81&gt;e_ecolifetime_yr,0,'1. Pathway 1'!$F$94*'Data - economic'!$I$45)</f>
        <v>0</v>
      </c>
      <c r="AE97" s="223">
        <f>IF(AE81&gt;e_ecolifetime_yr,0,'1. Pathway 1'!$F$94*'Data - economic'!$I$45)</f>
        <v>0</v>
      </c>
      <c r="AF97" s="223">
        <f>IF(AF81&gt;e_ecolifetime_yr,0,'1. Pathway 1'!$F$94*'Data - economic'!$I$45)</f>
        <v>0</v>
      </c>
      <c r="AG97" s="223">
        <f>IF(AG81&gt;e_ecolifetime_yr,0,'1. Pathway 1'!$F$94*'Data - economic'!$I$45)</f>
        <v>0</v>
      </c>
      <c r="AH97" s="223">
        <f>IF(AH81&gt;e_ecolifetime_yr,0,'1. Pathway 1'!$F$94*'Data - economic'!$I$45)</f>
        <v>0</v>
      </c>
      <c r="AI97" s="227">
        <f>IF(AI81&gt;e_ecolifetime_yr,0,'1. Pathway 1'!$F$94*'Data - economic'!$I$45)</f>
        <v>0</v>
      </c>
    </row>
    <row r="98" spans="2:35" x14ac:dyDescent="0.2">
      <c r="B98" s="9"/>
      <c r="C98" s="21"/>
      <c r="E98" s="226"/>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7"/>
    </row>
    <row r="99" spans="2:35" x14ac:dyDescent="0.2">
      <c r="B99" s="9"/>
      <c r="C99" s="21" t="s">
        <v>416</v>
      </c>
      <c r="D99" s="1" t="s">
        <v>199</v>
      </c>
      <c r="E99" s="226"/>
      <c r="F99" s="223">
        <f>IF(F81&gt;e_ecolifetime_yr,0,$E$25*'Data - economic'!$I$47)</f>
        <v>7700000</v>
      </c>
      <c r="G99" s="223">
        <f>IF(G81&gt;e_ecolifetime_yr,0,$E$25*'Data - economic'!$I$47)</f>
        <v>7700000</v>
      </c>
      <c r="H99" s="223">
        <f>IF(H81&gt;e_ecolifetime_yr,0,$E$25*'Data - economic'!$I$47)</f>
        <v>7700000</v>
      </c>
      <c r="I99" s="223">
        <f>IF(I81&gt;e_ecolifetime_yr,0,$E$25*'Data - economic'!$I$47)</f>
        <v>7700000</v>
      </c>
      <c r="J99" s="223">
        <f>IF(J81&gt;e_ecolifetime_yr,0,$E$25*'Data - economic'!$I$47)</f>
        <v>7700000</v>
      </c>
      <c r="K99" s="223">
        <f>IF(K81&gt;e_ecolifetime_yr,0,$E$25*'Data - economic'!$I$47)</f>
        <v>7700000</v>
      </c>
      <c r="L99" s="223">
        <f>IF(L81&gt;e_ecolifetime_yr,0,$E$25*'Data - economic'!$I$47)</f>
        <v>7700000</v>
      </c>
      <c r="M99" s="223">
        <f>IF(M81&gt;e_ecolifetime_yr,0,$E$25*'Data - economic'!$I$47)</f>
        <v>7700000</v>
      </c>
      <c r="N99" s="223">
        <f>IF(N81&gt;e_ecolifetime_yr,0,$E$25*'Data - economic'!$I$47)</f>
        <v>7700000</v>
      </c>
      <c r="O99" s="223">
        <f>IF(O81&gt;e_ecolifetime_yr,0,$E$25*'Data - economic'!$I$47)</f>
        <v>7700000</v>
      </c>
      <c r="P99" s="223">
        <f>IF(P81&gt;e_ecolifetime_yr,0,$E$25*'Data - economic'!$I$47)</f>
        <v>7700000</v>
      </c>
      <c r="Q99" s="223">
        <f>IF(Q81&gt;e_ecolifetime_yr,0,$E$25*'Data - economic'!$I$47)</f>
        <v>7700000</v>
      </c>
      <c r="R99" s="223">
        <f>IF(R81&gt;e_ecolifetime_yr,0,$E$25*'Data - economic'!$I$47)</f>
        <v>7700000</v>
      </c>
      <c r="S99" s="223">
        <f>IF(S81&gt;e_ecolifetime_yr,0,$E$25*'Data - economic'!$I$47)</f>
        <v>7700000</v>
      </c>
      <c r="T99" s="223">
        <f>IF(T81&gt;e_ecolifetime_yr,0,$E$25*'Data - economic'!$I$47)</f>
        <v>7700000</v>
      </c>
      <c r="U99" s="223">
        <f>IF(U81&gt;e_ecolifetime_yr,0,$E$25*'Data - economic'!$I$47)</f>
        <v>0</v>
      </c>
      <c r="V99" s="223">
        <f>IF(V81&gt;e_ecolifetime_yr,0,$E$25*'Data - economic'!$I$47)</f>
        <v>0</v>
      </c>
      <c r="W99" s="223">
        <f>IF(W81&gt;e_ecolifetime_yr,0,$E$25*'Data - economic'!$I$47)</f>
        <v>0</v>
      </c>
      <c r="X99" s="223">
        <f>IF(X81&gt;e_ecolifetime_yr,0,$E$25*'Data - economic'!$I$47)</f>
        <v>0</v>
      </c>
      <c r="Y99" s="223">
        <f>IF(Y81&gt;e_ecolifetime_yr,0,$E$25*'Data - economic'!$I$47)</f>
        <v>0</v>
      </c>
      <c r="Z99" s="223">
        <f>IF(Z81&gt;e_ecolifetime_yr,0,$E$25*'Data - economic'!$I$47)</f>
        <v>0</v>
      </c>
      <c r="AA99" s="223">
        <f>IF(AA81&gt;e_ecolifetime_yr,0,$E$25*'Data - economic'!$I$47)</f>
        <v>0</v>
      </c>
      <c r="AB99" s="223">
        <f>IF(AB81&gt;e_ecolifetime_yr,0,$E$25*'Data - economic'!$I$47)</f>
        <v>0</v>
      </c>
      <c r="AC99" s="223">
        <f>IF(AC81&gt;e_ecolifetime_yr,0,$E$25*'Data - economic'!$I$47)</f>
        <v>0</v>
      </c>
      <c r="AD99" s="223">
        <f>IF(AD81&gt;e_ecolifetime_yr,0,$E$25*'Data - economic'!$I$47)</f>
        <v>0</v>
      </c>
      <c r="AE99" s="223">
        <f>IF(AE81&gt;e_ecolifetime_yr,0,$E$25*'Data - economic'!$I$47)</f>
        <v>0</v>
      </c>
      <c r="AF99" s="223">
        <f>IF(AF81&gt;e_ecolifetime_yr,0,$E$25*'Data - economic'!$I$47)</f>
        <v>0</v>
      </c>
      <c r="AG99" s="223">
        <f>IF(AG81&gt;e_ecolifetime_yr,0,$E$25*'Data - economic'!$I$47)</f>
        <v>0</v>
      </c>
      <c r="AH99" s="223">
        <f>IF(AH81&gt;e_ecolifetime_yr,0,$E$25*'Data - economic'!$I$47)</f>
        <v>0</v>
      </c>
      <c r="AI99" s="227">
        <f>IF(AI81&gt;e_ecolifetime_yr,0,$E$25*'Data - economic'!$I$47)</f>
        <v>0</v>
      </c>
    </row>
    <row r="100" spans="2:35" x14ac:dyDescent="0.2">
      <c r="B100" s="9"/>
      <c r="C100" s="21"/>
      <c r="D100" s="1" t="s">
        <v>149</v>
      </c>
      <c r="E100" s="226"/>
      <c r="F100" s="223">
        <f>IF(F81&gt;e_ecolifetime_yr,0,$E$30*'Data - economic'!$I$56)</f>
        <v>16836.734693877548</v>
      </c>
      <c r="G100" s="223">
        <f>IF(G81&gt;e_ecolifetime_yr,0,$E$30*'Data - economic'!$I$56)</f>
        <v>16836.734693877548</v>
      </c>
      <c r="H100" s="223">
        <f>IF(H81&gt;e_ecolifetime_yr,0,$E$30*'Data - economic'!$I$56)</f>
        <v>16836.734693877548</v>
      </c>
      <c r="I100" s="223">
        <f>IF(I81&gt;e_ecolifetime_yr,0,$E$30*'Data - economic'!$I$56)</f>
        <v>16836.734693877548</v>
      </c>
      <c r="J100" s="223">
        <f>IF(J81&gt;e_ecolifetime_yr,0,$E$30*'Data - economic'!$I$56)</f>
        <v>16836.734693877548</v>
      </c>
      <c r="K100" s="223">
        <f>IF(K81&gt;e_ecolifetime_yr,0,$E$30*'Data - economic'!$I$56)</f>
        <v>16836.734693877548</v>
      </c>
      <c r="L100" s="223">
        <f>IF(L81&gt;e_ecolifetime_yr,0,$E$30*'Data - economic'!$I$56)</f>
        <v>16836.734693877548</v>
      </c>
      <c r="M100" s="223">
        <f>IF(M81&gt;e_ecolifetime_yr,0,$E$30*'Data - economic'!$I$56)</f>
        <v>16836.734693877548</v>
      </c>
      <c r="N100" s="223">
        <f>IF(N81&gt;e_ecolifetime_yr,0,$E$30*'Data - economic'!$I$56)</f>
        <v>16836.734693877548</v>
      </c>
      <c r="O100" s="223">
        <f>IF(O81&gt;e_ecolifetime_yr,0,$E$30*'Data - economic'!$I$56)</f>
        <v>16836.734693877548</v>
      </c>
      <c r="P100" s="223">
        <f>IF(P81&gt;e_ecolifetime_yr,0,$E$30*'Data - economic'!$I$56)</f>
        <v>16836.734693877548</v>
      </c>
      <c r="Q100" s="223">
        <f>IF(Q81&gt;e_ecolifetime_yr,0,$E$30*'Data - economic'!$I$56)</f>
        <v>16836.734693877548</v>
      </c>
      <c r="R100" s="223">
        <f>IF(R81&gt;e_ecolifetime_yr,0,$E$30*'Data - economic'!$I$56)</f>
        <v>16836.734693877548</v>
      </c>
      <c r="S100" s="223">
        <f>IF(S81&gt;e_ecolifetime_yr,0,$E$30*'Data - economic'!$I$56)</f>
        <v>16836.734693877548</v>
      </c>
      <c r="T100" s="223">
        <f>IF(T81&gt;e_ecolifetime_yr,0,$E$30*'Data - economic'!$I$56)</f>
        <v>16836.734693877548</v>
      </c>
      <c r="U100" s="223">
        <f>IF(U81&gt;e_ecolifetime_yr,0,$E$30*'Data - economic'!$I$56)</f>
        <v>0</v>
      </c>
      <c r="V100" s="223">
        <f>IF(V81&gt;e_ecolifetime_yr,0,$E$30*'Data - economic'!$I$56)</f>
        <v>0</v>
      </c>
      <c r="W100" s="223">
        <f>IF(W81&gt;e_ecolifetime_yr,0,$E$30*'Data - economic'!$I$56)</f>
        <v>0</v>
      </c>
      <c r="X100" s="223">
        <f>IF(X81&gt;e_ecolifetime_yr,0,$E$30*'Data - economic'!$I$56)</f>
        <v>0</v>
      </c>
      <c r="Y100" s="223">
        <f>IF(Y81&gt;e_ecolifetime_yr,0,$E$30*'Data - economic'!$I$56)</f>
        <v>0</v>
      </c>
      <c r="Z100" s="223">
        <f>IF(Z81&gt;e_ecolifetime_yr,0,$E$30*'Data - economic'!$I$56)</f>
        <v>0</v>
      </c>
      <c r="AA100" s="223">
        <f>IF(AA81&gt;e_ecolifetime_yr,0,$E$30*'Data - economic'!$I$56)</f>
        <v>0</v>
      </c>
      <c r="AB100" s="223">
        <f>IF(AB81&gt;e_ecolifetime_yr,0,$E$30*'Data - economic'!$I$56)</f>
        <v>0</v>
      </c>
      <c r="AC100" s="223">
        <f>IF(AC81&gt;e_ecolifetime_yr,0,$E$30*'Data - economic'!$I$56)</f>
        <v>0</v>
      </c>
      <c r="AD100" s="223">
        <f>IF(AD81&gt;e_ecolifetime_yr,0,$E$30*'Data - economic'!$I$56)</f>
        <v>0</v>
      </c>
      <c r="AE100" s="223">
        <f>IF(AE81&gt;e_ecolifetime_yr,0,$E$30*'Data - economic'!$I$56)</f>
        <v>0</v>
      </c>
      <c r="AF100" s="223">
        <f>IF(AF81&gt;e_ecolifetime_yr,0,$E$30*'Data - economic'!$I$56)</f>
        <v>0</v>
      </c>
      <c r="AG100" s="223">
        <f>IF(AG81&gt;e_ecolifetime_yr,0,$E$30*'Data - economic'!$I$56)</f>
        <v>0</v>
      </c>
      <c r="AH100" s="223">
        <f>IF(AH81&gt;e_ecolifetime_yr,0,$E$30*'Data - economic'!$I$56)</f>
        <v>0</v>
      </c>
      <c r="AI100" s="227">
        <f>IF(AI81&gt;e_ecolifetime_yr,0,$E$30*'Data - economic'!$I$56)</f>
        <v>0</v>
      </c>
    </row>
    <row r="101" spans="2:35" x14ac:dyDescent="0.2">
      <c r="B101" s="9"/>
      <c r="C101" s="21"/>
      <c r="D101" s="1" t="s">
        <v>207</v>
      </c>
      <c r="E101" s="226"/>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7"/>
    </row>
    <row r="102" spans="2:35" x14ac:dyDescent="0.2">
      <c r="B102" s="9"/>
      <c r="C102" s="21"/>
      <c r="E102" s="226"/>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7"/>
    </row>
    <row r="103" spans="2:35" x14ac:dyDescent="0.2">
      <c r="B103" s="9"/>
      <c r="C103" s="21" t="s">
        <v>425</v>
      </c>
      <c r="D103" s="1" t="s">
        <v>199</v>
      </c>
      <c r="E103" s="226"/>
      <c r="F103" s="223">
        <f>IF(F81&gt;e_ecolifetime_yr,0,$E$40*'Data - economic'!$I$47)</f>
        <v>0</v>
      </c>
      <c r="G103" s="223">
        <f>IF(G81&gt;e_ecolifetime_yr,0,$E$40*'Data - economic'!$I$47)</f>
        <v>0</v>
      </c>
      <c r="H103" s="223">
        <f>IF(H81&gt;e_ecolifetime_yr,0,$E$40*'Data - economic'!$I$47)</f>
        <v>0</v>
      </c>
      <c r="I103" s="223">
        <f>IF(I81&gt;e_ecolifetime_yr,0,$E$40*'Data - economic'!$I$47)</f>
        <v>0</v>
      </c>
      <c r="J103" s="223">
        <f>IF(J81&gt;e_ecolifetime_yr,0,$E$40*'Data - economic'!$I$47)</f>
        <v>0</v>
      </c>
      <c r="K103" s="223">
        <f>IF(K81&gt;e_ecolifetime_yr,0,$E$40*'Data - economic'!$I$47)</f>
        <v>0</v>
      </c>
      <c r="L103" s="223">
        <f>IF(L81&gt;e_ecolifetime_yr,0,$E$40*'Data - economic'!$I$47)</f>
        <v>0</v>
      </c>
      <c r="M103" s="223">
        <f>IF(M81&gt;e_ecolifetime_yr,0,$E$40*'Data - economic'!$I$47)</f>
        <v>0</v>
      </c>
      <c r="N103" s="223">
        <f>IF(N81&gt;e_ecolifetime_yr,0,$E$40*'Data - economic'!$I$47)</f>
        <v>0</v>
      </c>
      <c r="O103" s="223">
        <f>IF(O81&gt;e_ecolifetime_yr,0,$E$40*'Data - economic'!$I$47)</f>
        <v>0</v>
      </c>
      <c r="P103" s="223">
        <f>IF(P81&gt;e_ecolifetime_yr,0,$E$40*'Data - economic'!$I$47)</f>
        <v>0</v>
      </c>
      <c r="Q103" s="223">
        <f>IF(Q81&gt;e_ecolifetime_yr,0,$E$40*'Data - economic'!$I$47)</f>
        <v>0</v>
      </c>
      <c r="R103" s="223">
        <f>IF(R81&gt;e_ecolifetime_yr,0,$E$40*'Data - economic'!$I$47)</f>
        <v>0</v>
      </c>
      <c r="S103" s="223">
        <f>IF(S81&gt;e_ecolifetime_yr,0,$E$40*'Data - economic'!$I$47)</f>
        <v>0</v>
      </c>
      <c r="T103" s="223">
        <f>IF(T81&gt;e_ecolifetime_yr,0,$E$40*'Data - economic'!$I$47)</f>
        <v>0</v>
      </c>
      <c r="U103" s="223">
        <f>IF(U81&gt;e_ecolifetime_yr,0,$E$40*'Data - economic'!$I$47)</f>
        <v>0</v>
      </c>
      <c r="V103" s="223">
        <f>IF(V81&gt;e_ecolifetime_yr,0,$E$40*'Data - economic'!$I$47)</f>
        <v>0</v>
      </c>
      <c r="W103" s="223">
        <f>IF(W81&gt;e_ecolifetime_yr,0,$E$40*'Data - economic'!$I$47)</f>
        <v>0</v>
      </c>
      <c r="X103" s="223">
        <f>IF(X81&gt;e_ecolifetime_yr,0,$E$40*'Data - economic'!$I$47)</f>
        <v>0</v>
      </c>
      <c r="Y103" s="223">
        <f>IF(Y81&gt;e_ecolifetime_yr,0,$E$40*'Data - economic'!$I$47)</f>
        <v>0</v>
      </c>
      <c r="Z103" s="223">
        <f>IF(Z81&gt;e_ecolifetime_yr,0,$E$40*'Data - economic'!$I$47)</f>
        <v>0</v>
      </c>
      <c r="AA103" s="223">
        <f>IF(AA81&gt;e_ecolifetime_yr,0,$E$40*'Data - economic'!$I$47)</f>
        <v>0</v>
      </c>
      <c r="AB103" s="223">
        <f>IF(AB81&gt;e_ecolifetime_yr,0,$E$40*'Data - economic'!$I$47)</f>
        <v>0</v>
      </c>
      <c r="AC103" s="223">
        <f>IF(AC81&gt;e_ecolifetime_yr,0,$E$40*'Data - economic'!$I$47)</f>
        <v>0</v>
      </c>
      <c r="AD103" s="223">
        <f>IF(AD81&gt;e_ecolifetime_yr,0,$E$40*'Data - economic'!$I$47)</f>
        <v>0</v>
      </c>
      <c r="AE103" s="223">
        <f>IF(AE81&gt;e_ecolifetime_yr,0,$E$40*'Data - economic'!$I$47)</f>
        <v>0</v>
      </c>
      <c r="AF103" s="223">
        <f>IF(AF81&gt;e_ecolifetime_yr,0,$E$40*'Data - economic'!$I$47)</f>
        <v>0</v>
      </c>
      <c r="AG103" s="223">
        <f>IF(AG81&gt;e_ecolifetime_yr,0,$E$40*'Data - economic'!$I$47)</f>
        <v>0</v>
      </c>
      <c r="AH103" s="223">
        <f>IF(AH81&gt;e_ecolifetime_yr,0,$E$40*'Data - economic'!$I$47)</f>
        <v>0</v>
      </c>
      <c r="AI103" s="227">
        <f>IF(AI81&gt;e_ecolifetime_yr,0,$E$40*'Data - economic'!$I$47)</f>
        <v>0</v>
      </c>
    </row>
    <row r="104" spans="2:35" x14ac:dyDescent="0.2">
      <c r="B104" s="9"/>
      <c r="C104" s="21"/>
      <c r="D104" s="1" t="s">
        <v>149</v>
      </c>
      <c r="E104" s="226"/>
      <c r="F104" s="223">
        <f>IF(F81&gt;e_ecolifetime_yr,0,$E$45*'Data - economic'!$I$56)</f>
        <v>0</v>
      </c>
      <c r="G104" s="223">
        <f>IF(G81&gt;e_ecolifetime_yr,0,$E$45*'Data - economic'!$I$56)</f>
        <v>0</v>
      </c>
      <c r="H104" s="223">
        <f>IF(H81&gt;e_ecolifetime_yr,0,$E$45*'Data - economic'!$I$56)</f>
        <v>0</v>
      </c>
      <c r="I104" s="223">
        <f>IF(I81&gt;e_ecolifetime_yr,0,$E$45*'Data - economic'!$I$56)</f>
        <v>0</v>
      </c>
      <c r="J104" s="223">
        <f>IF(J81&gt;e_ecolifetime_yr,0,$E$45*'Data - economic'!$I$56)</f>
        <v>0</v>
      </c>
      <c r="K104" s="223">
        <f>IF(K81&gt;e_ecolifetime_yr,0,$E$45*'Data - economic'!$I$56)</f>
        <v>0</v>
      </c>
      <c r="L104" s="223">
        <f>IF(L81&gt;e_ecolifetime_yr,0,$E$45*'Data - economic'!$I$56)</f>
        <v>0</v>
      </c>
      <c r="M104" s="223">
        <f>IF(M81&gt;e_ecolifetime_yr,0,$E$45*'Data - economic'!$I$56)</f>
        <v>0</v>
      </c>
      <c r="N104" s="223">
        <f>IF(N81&gt;e_ecolifetime_yr,0,$E$45*'Data - economic'!$I$56)</f>
        <v>0</v>
      </c>
      <c r="O104" s="223">
        <f>IF(O81&gt;e_ecolifetime_yr,0,$E$45*'Data - economic'!$I$56)</f>
        <v>0</v>
      </c>
      <c r="P104" s="223">
        <f>IF(P81&gt;e_ecolifetime_yr,0,$E$45*'Data - economic'!$I$56)</f>
        <v>0</v>
      </c>
      <c r="Q104" s="223">
        <f>IF(Q81&gt;e_ecolifetime_yr,0,$E$45*'Data - economic'!$I$56)</f>
        <v>0</v>
      </c>
      <c r="R104" s="223">
        <f>IF(R81&gt;e_ecolifetime_yr,0,$E$45*'Data - economic'!$I$56)</f>
        <v>0</v>
      </c>
      <c r="S104" s="223">
        <f>IF(S81&gt;e_ecolifetime_yr,0,$E$45*'Data - economic'!$I$56)</f>
        <v>0</v>
      </c>
      <c r="T104" s="223">
        <f>IF(T81&gt;e_ecolifetime_yr,0,$E$45*'Data - economic'!$I$56)</f>
        <v>0</v>
      </c>
      <c r="U104" s="223">
        <f>IF(U81&gt;e_ecolifetime_yr,0,$E$45*'Data - economic'!$I$56)</f>
        <v>0</v>
      </c>
      <c r="V104" s="223">
        <f>IF(V81&gt;e_ecolifetime_yr,0,$E$45*'Data - economic'!$I$56)</f>
        <v>0</v>
      </c>
      <c r="W104" s="223">
        <f>IF(W81&gt;e_ecolifetime_yr,0,$E$45*'Data - economic'!$I$56)</f>
        <v>0</v>
      </c>
      <c r="X104" s="223">
        <f>IF(X81&gt;e_ecolifetime_yr,0,$E$45*'Data - economic'!$I$56)</f>
        <v>0</v>
      </c>
      <c r="Y104" s="223">
        <f>IF(Y81&gt;e_ecolifetime_yr,0,$E$45*'Data - economic'!$I$56)</f>
        <v>0</v>
      </c>
      <c r="Z104" s="223">
        <f>IF(Z81&gt;e_ecolifetime_yr,0,$E$45*'Data - economic'!$I$56)</f>
        <v>0</v>
      </c>
      <c r="AA104" s="223">
        <f>IF(AA81&gt;e_ecolifetime_yr,0,$E$45*'Data - economic'!$I$56)</f>
        <v>0</v>
      </c>
      <c r="AB104" s="223">
        <f>IF(AB81&gt;e_ecolifetime_yr,0,$E$45*'Data - economic'!$I$56)</f>
        <v>0</v>
      </c>
      <c r="AC104" s="223">
        <f>IF(AC81&gt;e_ecolifetime_yr,0,$E$45*'Data - economic'!$I$56)</f>
        <v>0</v>
      </c>
      <c r="AD104" s="223">
        <f>IF(AD81&gt;e_ecolifetime_yr,0,$E$45*'Data - economic'!$I$56)</f>
        <v>0</v>
      </c>
      <c r="AE104" s="223">
        <f>IF(AE81&gt;e_ecolifetime_yr,0,$E$45*'Data - economic'!$I$56)</f>
        <v>0</v>
      </c>
      <c r="AF104" s="223">
        <f>IF(AF81&gt;e_ecolifetime_yr,0,$E$45*'Data - economic'!$I$56)</f>
        <v>0</v>
      </c>
      <c r="AG104" s="223">
        <f>IF(AG81&gt;e_ecolifetime_yr,0,$E$45*'Data - economic'!$I$56)</f>
        <v>0</v>
      </c>
      <c r="AH104" s="223">
        <f>IF(AH81&gt;e_ecolifetime_yr,0,$E$45*'Data - economic'!$I$56)</f>
        <v>0</v>
      </c>
      <c r="AI104" s="227">
        <f>IF(AI81&gt;e_ecolifetime_yr,0,$E$45*'Data - economic'!$I$56)</f>
        <v>0</v>
      </c>
    </row>
    <row r="105" spans="2:35" x14ac:dyDescent="0.2">
      <c r="B105" s="9"/>
      <c r="C105" s="21"/>
      <c r="D105" s="1" t="s">
        <v>446</v>
      </c>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8"/>
    </row>
    <row r="106" spans="2:35" x14ac:dyDescent="0.2">
      <c r="B106" s="9"/>
      <c r="C106" s="21"/>
      <c r="D106" s="1" t="s">
        <v>207</v>
      </c>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8"/>
    </row>
    <row r="107" spans="2:35" x14ac:dyDescent="0.2">
      <c r="B107" s="9"/>
      <c r="C107" s="21"/>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8"/>
    </row>
    <row r="108" spans="2:35" ht="13.8" x14ac:dyDescent="0.3">
      <c r="B108" s="9"/>
      <c r="C108" s="21" t="s">
        <v>440</v>
      </c>
      <c r="D108" s="1" t="s">
        <v>199</v>
      </c>
      <c r="E108" s="226"/>
      <c r="F108" s="223">
        <f>IF(F81&gt;e_ecolifetime_yr,0,$E$58*'Data - economic'!$I$47)</f>
        <v>559428.57142857136</v>
      </c>
      <c r="G108" s="223">
        <f>IF(G81&gt;e_ecolifetime_yr,0,$E$58*'Data - economic'!$I$47)</f>
        <v>559428.57142857136</v>
      </c>
      <c r="H108" s="223">
        <f>IF(H81&gt;e_ecolifetime_yr,0,$E$58*'Data - economic'!$I$47)</f>
        <v>559428.57142857136</v>
      </c>
      <c r="I108" s="223">
        <f>IF(I81&gt;e_ecolifetime_yr,0,$E$58*'Data - economic'!$I$47)</f>
        <v>559428.57142857136</v>
      </c>
      <c r="J108" s="223">
        <f>IF(J81&gt;e_ecolifetime_yr,0,$E$58*'Data - economic'!$I$47)</f>
        <v>559428.57142857136</v>
      </c>
      <c r="K108" s="223">
        <f>IF(K81&gt;e_ecolifetime_yr,0,$E$58*'Data - economic'!$I$47)</f>
        <v>559428.57142857136</v>
      </c>
      <c r="L108" s="223">
        <f>IF(L81&gt;e_ecolifetime_yr,0,$E$58*'Data - economic'!$I$47)</f>
        <v>559428.57142857136</v>
      </c>
      <c r="M108" s="223">
        <f>IF(M81&gt;e_ecolifetime_yr,0,$E$58*'Data - economic'!$I$47)</f>
        <v>559428.57142857136</v>
      </c>
      <c r="N108" s="223">
        <f>IF(N81&gt;e_ecolifetime_yr,0,$E$58*'Data - economic'!$I$47)</f>
        <v>559428.57142857136</v>
      </c>
      <c r="O108" s="223">
        <f>IF(O81&gt;e_ecolifetime_yr,0,$E$58*'Data - economic'!$I$47)</f>
        <v>559428.57142857136</v>
      </c>
      <c r="P108" s="223">
        <f>IF(P81&gt;e_ecolifetime_yr,0,$E$58*'Data - economic'!$I$47)</f>
        <v>559428.57142857136</v>
      </c>
      <c r="Q108" s="223">
        <f>IF(Q81&gt;e_ecolifetime_yr,0,$E$58*'Data - economic'!$I$47)</f>
        <v>559428.57142857136</v>
      </c>
      <c r="R108" s="223">
        <f>IF(R81&gt;e_ecolifetime_yr,0,$E$58*'Data - economic'!$I$47)</f>
        <v>559428.57142857136</v>
      </c>
      <c r="S108" s="223">
        <f>IF(S81&gt;e_ecolifetime_yr,0,$E$58*'Data - economic'!$I$47)</f>
        <v>559428.57142857136</v>
      </c>
      <c r="T108" s="223">
        <f>IF(T81&gt;e_ecolifetime_yr,0,$E$58*'Data - economic'!$I$47)</f>
        <v>559428.57142857136</v>
      </c>
      <c r="U108" s="223">
        <f>IF(U81&gt;e_ecolifetime_yr,0,$E$58*'Data - economic'!$I$47)</f>
        <v>0</v>
      </c>
      <c r="V108" s="223">
        <f>IF(V81&gt;e_ecolifetime_yr,0,$E$58*'Data - economic'!$I$47)</f>
        <v>0</v>
      </c>
      <c r="W108" s="223">
        <f>IF(W81&gt;e_ecolifetime_yr,0,$E$58*'Data - economic'!$I$47)</f>
        <v>0</v>
      </c>
      <c r="X108" s="223">
        <f>IF(X81&gt;e_ecolifetime_yr,0,$E$58*'Data - economic'!$I$47)</f>
        <v>0</v>
      </c>
      <c r="Y108" s="223">
        <f>IF(Y81&gt;e_ecolifetime_yr,0,$E$58*'Data - economic'!$I$47)</f>
        <v>0</v>
      </c>
      <c r="Z108" s="223">
        <f>IF(Z81&gt;e_ecolifetime_yr,0,$E$58*'Data - economic'!$I$47)</f>
        <v>0</v>
      </c>
      <c r="AA108" s="223">
        <f>IF(AA81&gt;e_ecolifetime_yr,0,$E$58*'Data - economic'!$I$47)</f>
        <v>0</v>
      </c>
      <c r="AB108" s="223">
        <f>IF(AB81&gt;e_ecolifetime_yr,0,$E$58*'Data - economic'!$I$47)</f>
        <v>0</v>
      </c>
      <c r="AC108" s="223">
        <f>IF(AC81&gt;e_ecolifetime_yr,0,$E$58*'Data - economic'!$I$47)</f>
        <v>0</v>
      </c>
      <c r="AD108" s="223">
        <f>IF(AD81&gt;e_ecolifetime_yr,0,$E$58*'Data - economic'!$I$47)</f>
        <v>0</v>
      </c>
      <c r="AE108" s="223">
        <f>IF(AE81&gt;e_ecolifetime_yr,0,$E$58*'Data - economic'!$I$47)</f>
        <v>0</v>
      </c>
      <c r="AF108" s="223">
        <f>IF(AF81&gt;e_ecolifetime_yr,0,$E$58*'Data - economic'!$I$47)</f>
        <v>0</v>
      </c>
      <c r="AG108" s="223">
        <f>IF(AG81&gt;e_ecolifetime_yr,0,$E$58*'Data - economic'!$I$47)</f>
        <v>0</v>
      </c>
      <c r="AH108" s="223">
        <f>IF(AH81&gt;e_ecolifetime_yr,0,$E$58*'Data - economic'!$I$47)</f>
        <v>0</v>
      </c>
      <c r="AI108" s="227">
        <f>IF(AI81&gt;e_ecolifetime_yr,0,$E$58*'Data - economic'!$I$47)</f>
        <v>0</v>
      </c>
    </row>
    <row r="109" spans="2:35" x14ac:dyDescent="0.2">
      <c r="B109" s="9"/>
      <c r="C109" s="21"/>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8"/>
    </row>
    <row r="110" spans="2:35" ht="13.8" x14ac:dyDescent="0.3">
      <c r="B110" s="9"/>
      <c r="C110" s="21" t="s">
        <v>243</v>
      </c>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8"/>
    </row>
    <row r="111" spans="2:35" x14ac:dyDescent="0.2">
      <c r="B111" s="9"/>
      <c r="C111" s="21"/>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8"/>
    </row>
    <row r="112" spans="2:35" s="6" customFormat="1" x14ac:dyDescent="0.2">
      <c r="B112" s="8" t="s">
        <v>329</v>
      </c>
      <c r="C112" s="80"/>
      <c r="D112" s="8"/>
      <c r="E112" s="221"/>
      <c r="F112" s="220">
        <f>SUM(F113:F117)</f>
        <v>4308692.3673469387</v>
      </c>
      <c r="G112" s="220">
        <f t="shared" ref="G112:AI112" si="2">SUM(G113:G117)</f>
        <v>4308692.3673469387</v>
      </c>
      <c r="H112" s="220">
        <f t="shared" si="2"/>
        <v>4308692.3673469387</v>
      </c>
      <c r="I112" s="220">
        <f t="shared" si="2"/>
        <v>4308692.3673469387</v>
      </c>
      <c r="J112" s="220">
        <f t="shared" si="2"/>
        <v>4308692.3673469387</v>
      </c>
      <c r="K112" s="220">
        <f t="shared" si="2"/>
        <v>4308692.3673469387</v>
      </c>
      <c r="L112" s="220">
        <f t="shared" si="2"/>
        <v>4308692.3673469387</v>
      </c>
      <c r="M112" s="220">
        <f t="shared" si="2"/>
        <v>4308692.3673469387</v>
      </c>
      <c r="N112" s="220">
        <f t="shared" si="2"/>
        <v>4308692.3673469387</v>
      </c>
      <c r="O112" s="220">
        <f t="shared" si="2"/>
        <v>4308692.3673469387</v>
      </c>
      <c r="P112" s="220">
        <f t="shared" si="2"/>
        <v>4308692.3673469387</v>
      </c>
      <c r="Q112" s="220">
        <f t="shared" si="2"/>
        <v>4308692.3673469387</v>
      </c>
      <c r="R112" s="220">
        <f t="shared" si="2"/>
        <v>4308692.3673469387</v>
      </c>
      <c r="S112" s="220">
        <f t="shared" si="2"/>
        <v>4308692.3673469387</v>
      </c>
      <c r="T112" s="220">
        <f t="shared" si="2"/>
        <v>4308692.3673469387</v>
      </c>
      <c r="U112" s="220">
        <f t="shared" si="2"/>
        <v>0</v>
      </c>
      <c r="V112" s="220">
        <f t="shared" si="2"/>
        <v>0</v>
      </c>
      <c r="W112" s="220">
        <f t="shared" si="2"/>
        <v>0</v>
      </c>
      <c r="X112" s="220">
        <f t="shared" si="2"/>
        <v>0</v>
      </c>
      <c r="Y112" s="220">
        <f t="shared" si="2"/>
        <v>0</v>
      </c>
      <c r="Z112" s="220">
        <f t="shared" si="2"/>
        <v>0</v>
      </c>
      <c r="AA112" s="220">
        <f t="shared" si="2"/>
        <v>0</v>
      </c>
      <c r="AB112" s="220">
        <f t="shared" si="2"/>
        <v>0</v>
      </c>
      <c r="AC112" s="220">
        <f t="shared" si="2"/>
        <v>0</v>
      </c>
      <c r="AD112" s="220">
        <f t="shared" si="2"/>
        <v>0</v>
      </c>
      <c r="AE112" s="220">
        <f t="shared" si="2"/>
        <v>0</v>
      </c>
      <c r="AF112" s="220">
        <f t="shared" si="2"/>
        <v>0</v>
      </c>
      <c r="AG112" s="220">
        <f t="shared" si="2"/>
        <v>0</v>
      </c>
      <c r="AH112" s="220">
        <f t="shared" si="2"/>
        <v>0</v>
      </c>
      <c r="AI112" s="229">
        <f t="shared" si="2"/>
        <v>0</v>
      </c>
    </row>
    <row r="113" spans="2:35" x14ac:dyDescent="0.2">
      <c r="B113" s="9"/>
      <c r="C113" s="21" t="s">
        <v>409</v>
      </c>
      <c r="D113" s="1" t="s">
        <v>82</v>
      </c>
      <c r="E113" s="226"/>
      <c r="F113" s="223">
        <f>IF(F81&gt;e_ecolifetime_yr,0,IF('Pathway definition and results'!$E$23=1,'1. Pathway 1'!$E$49*'Data - economic'!$I$74,'1. Pathway 1'!$E$34*'Data - economic'!$I$74))</f>
        <v>3995918.3673469382</v>
      </c>
      <c r="G113" s="223">
        <f>IF(G81&gt;e_ecolifetime_yr,0,IF('Pathway definition and results'!$E$23=1,'1. Pathway 1'!$E$49*'Data - economic'!$I$74,'1. Pathway 1'!$E$34*'Data - economic'!$I$74))</f>
        <v>3995918.3673469382</v>
      </c>
      <c r="H113" s="223">
        <f>IF(H81&gt;e_ecolifetime_yr,0,IF('Pathway definition and results'!$E$23=1,'1. Pathway 1'!$E$49*'Data - economic'!$I$74,'1. Pathway 1'!$E$34*'Data - economic'!$I$74))</f>
        <v>3995918.3673469382</v>
      </c>
      <c r="I113" s="223">
        <f>IF(I81&gt;e_ecolifetime_yr,0,IF('Pathway definition and results'!$E$23=1,'1. Pathway 1'!$E$49*'Data - economic'!$I$74,'1. Pathway 1'!$E$34*'Data - economic'!$I$74))</f>
        <v>3995918.3673469382</v>
      </c>
      <c r="J113" s="223">
        <f>IF(J81&gt;e_ecolifetime_yr,0,IF('Pathway definition and results'!$E$23=1,'1. Pathway 1'!$E$49*'Data - economic'!$I$74,'1. Pathway 1'!$E$34*'Data - economic'!$I$74))</f>
        <v>3995918.3673469382</v>
      </c>
      <c r="K113" s="223">
        <f>IF(K81&gt;e_ecolifetime_yr,0,IF('Pathway definition and results'!$E$23=1,'1. Pathway 1'!$E$49*'Data - economic'!$I$74,'1. Pathway 1'!$E$34*'Data - economic'!$I$74))</f>
        <v>3995918.3673469382</v>
      </c>
      <c r="L113" s="223">
        <f>IF(L81&gt;e_ecolifetime_yr,0,IF('Pathway definition and results'!$E$23=1,'1. Pathway 1'!$E$49*'Data - economic'!$I$74,'1. Pathway 1'!$E$34*'Data - economic'!$I$74))</f>
        <v>3995918.3673469382</v>
      </c>
      <c r="M113" s="223">
        <f>IF(M81&gt;e_ecolifetime_yr,0,IF('Pathway definition and results'!$E$23=1,'1. Pathway 1'!$E$49*'Data - economic'!$I$74,'1. Pathway 1'!$E$34*'Data - economic'!$I$74))</f>
        <v>3995918.3673469382</v>
      </c>
      <c r="N113" s="223">
        <f>IF(N81&gt;e_ecolifetime_yr,0,IF('Pathway definition and results'!$E$23=1,'1. Pathway 1'!$E$49*'Data - economic'!$I$74,'1. Pathway 1'!$E$34*'Data - economic'!$I$74))</f>
        <v>3995918.3673469382</v>
      </c>
      <c r="O113" s="223">
        <f>IF(O81&gt;e_ecolifetime_yr,0,IF('Pathway definition and results'!$E$23=1,'1. Pathway 1'!$E$49*'Data - economic'!$I$74,'1. Pathway 1'!$E$34*'Data - economic'!$I$74))</f>
        <v>3995918.3673469382</v>
      </c>
      <c r="P113" s="223">
        <f>IF(P81&gt;e_ecolifetime_yr,0,IF('Pathway definition and results'!$E$23=1,'1. Pathway 1'!$E$49*'Data - economic'!$I$74,'1. Pathway 1'!$E$34*'Data - economic'!$I$74))</f>
        <v>3995918.3673469382</v>
      </c>
      <c r="Q113" s="223">
        <f>IF(Q81&gt;e_ecolifetime_yr,0,IF('Pathway definition and results'!$E$23=1,'1. Pathway 1'!$E$49*'Data - economic'!$I$74,'1. Pathway 1'!$E$34*'Data - economic'!$I$74))</f>
        <v>3995918.3673469382</v>
      </c>
      <c r="R113" s="223">
        <f>IF(R81&gt;e_ecolifetime_yr,0,IF('Pathway definition and results'!$E$23=1,'1. Pathway 1'!$E$49*'Data - economic'!$I$74,'1. Pathway 1'!$E$34*'Data - economic'!$I$74))</f>
        <v>3995918.3673469382</v>
      </c>
      <c r="S113" s="223">
        <f>IF(S81&gt;e_ecolifetime_yr,0,IF('Pathway definition and results'!$E$23=1,'1. Pathway 1'!$E$49*'Data - economic'!$I$74,'1. Pathway 1'!$E$34*'Data - economic'!$I$74))</f>
        <v>3995918.3673469382</v>
      </c>
      <c r="T113" s="223">
        <f>IF(T81&gt;e_ecolifetime_yr,0,IF('Pathway definition and results'!$E$23=1,'1. Pathway 1'!$E$49*'Data - economic'!$I$74,'1. Pathway 1'!$E$34*'Data - economic'!$I$74))</f>
        <v>3995918.3673469382</v>
      </c>
      <c r="U113" s="223">
        <f>IF(U81&gt;e_ecolifetime_yr,0,IF('Pathway definition and results'!$E$23=1,'1. Pathway 1'!$E$49*'Data - economic'!$I$74,'1. Pathway 1'!$E$34*'Data - economic'!$I$74))</f>
        <v>0</v>
      </c>
      <c r="V113" s="223">
        <f>IF(V81&gt;e_ecolifetime_yr,0,IF('Pathway definition and results'!$E$23=1,'1. Pathway 1'!$E$49*'Data - economic'!$I$74,'1. Pathway 1'!$E$34*'Data - economic'!$I$74))</f>
        <v>0</v>
      </c>
      <c r="W113" s="223">
        <f>IF(W81&gt;e_ecolifetime_yr,0,IF('Pathway definition and results'!$E$23=1,'1. Pathway 1'!$E$49*'Data - economic'!$I$74,'1. Pathway 1'!$E$34*'Data - economic'!$I$74))</f>
        <v>0</v>
      </c>
      <c r="X113" s="223">
        <f>IF(X81&gt;e_ecolifetime_yr,0,IF('Pathway definition and results'!$E$23=1,'1. Pathway 1'!$E$49*'Data - economic'!$I$74,'1. Pathway 1'!$E$34*'Data - economic'!$I$74))</f>
        <v>0</v>
      </c>
      <c r="Y113" s="223">
        <f>IF(Y81&gt;e_ecolifetime_yr,0,IF('Pathway definition and results'!$E$23=1,'1. Pathway 1'!$E$49*'Data - economic'!$I$74,'1. Pathway 1'!$E$34*'Data - economic'!$I$74))</f>
        <v>0</v>
      </c>
      <c r="Z113" s="223">
        <f>IF(Z81&gt;e_ecolifetime_yr,0,IF('Pathway definition and results'!$E$23=1,'1. Pathway 1'!$E$49*'Data - economic'!$I$74,'1. Pathway 1'!$E$34*'Data - economic'!$I$74))</f>
        <v>0</v>
      </c>
      <c r="AA113" s="223">
        <f>IF(AA81&gt;e_ecolifetime_yr,0,IF('Pathway definition and results'!$E$23=1,'1. Pathway 1'!$E$49*'Data - economic'!$I$74,'1. Pathway 1'!$E$34*'Data - economic'!$I$74))</f>
        <v>0</v>
      </c>
      <c r="AB113" s="223">
        <f>IF(AB81&gt;e_ecolifetime_yr,0,IF('Pathway definition and results'!$E$23=1,'1. Pathway 1'!$E$49*'Data - economic'!$I$74,'1. Pathway 1'!$E$34*'Data - economic'!$I$74))</f>
        <v>0</v>
      </c>
      <c r="AC113" s="223">
        <f>IF(AC81&gt;e_ecolifetime_yr,0,IF('Pathway definition and results'!$E$23=1,'1. Pathway 1'!$E$49*'Data - economic'!$I$74,'1. Pathway 1'!$E$34*'Data - economic'!$I$74))</f>
        <v>0</v>
      </c>
      <c r="AD113" s="223">
        <f>IF(AD81&gt;e_ecolifetime_yr,0,IF('Pathway definition and results'!$E$23=1,'1. Pathway 1'!$E$49*'Data - economic'!$I$74,'1. Pathway 1'!$E$34*'Data - economic'!$I$74))</f>
        <v>0</v>
      </c>
      <c r="AE113" s="223">
        <f>IF(AE81&gt;e_ecolifetime_yr,0,IF('Pathway definition and results'!$E$23=1,'1. Pathway 1'!$E$49*'Data - economic'!$I$74,'1. Pathway 1'!$E$34*'Data - economic'!$I$74))</f>
        <v>0</v>
      </c>
      <c r="AF113" s="223">
        <f>IF(AF81&gt;e_ecolifetime_yr,0,IF('Pathway definition and results'!$E$23=1,'1. Pathway 1'!$E$49*'Data - economic'!$I$74,'1. Pathway 1'!$E$34*'Data - economic'!$I$74))</f>
        <v>0</v>
      </c>
      <c r="AG113" s="223">
        <f>IF(AG81&gt;e_ecolifetime_yr,0,IF('Pathway definition and results'!$E$23=1,'1. Pathway 1'!$E$49*'Data - economic'!$I$74,'1. Pathway 1'!$E$34*'Data - economic'!$I$74))</f>
        <v>0</v>
      </c>
      <c r="AH113" s="223">
        <f>IF(AH81&gt;e_ecolifetime_yr,0,IF('Pathway definition and results'!$E$23=1,'1. Pathway 1'!$E$49*'Data - economic'!$I$74,'1. Pathway 1'!$E$34*'Data - economic'!$I$74))</f>
        <v>0</v>
      </c>
      <c r="AI113" s="227">
        <f>IF(AI81&gt;e_ecolifetime_yr,0,IF('Pathway definition and results'!$E$23=1,'1. Pathway 1'!$E$49*'Data - economic'!$I$74,'1. Pathway 1'!$E$34*'Data - economic'!$I$74))</f>
        <v>0</v>
      </c>
    </row>
    <row r="114" spans="2:35" x14ac:dyDescent="0.2">
      <c r="B114" s="9"/>
      <c r="C114" s="21"/>
      <c r="D114" s="1" t="s">
        <v>123</v>
      </c>
      <c r="E114" s="226"/>
      <c r="F114" s="223">
        <f>IF(F81&gt;e_ecolifetime_yr,0,IF('Pathway definition and results'!$E$26=0,0,IF('Pathway definition and results'!$E$23=1,('1. Pathway 1'!$E$51/1000)*'Data - economic'!$I$76,('1. Pathway 1'!$E$36/1000)*'Data - economic'!$I$76)))</f>
        <v>312774.00000000006</v>
      </c>
      <c r="G114" s="223">
        <f>IF(G81&gt;e_ecolifetime_yr,0,IF('Pathway definition and results'!$E$26=0,0,IF('Pathway definition and results'!$E$23=1,('1. Pathway 1'!$E$51/1000)*'Data - economic'!$I$76,('1. Pathway 1'!$E$36/1000)*'Data - economic'!$I$76)))</f>
        <v>312774.00000000006</v>
      </c>
      <c r="H114" s="223">
        <f>IF(H81&gt;e_ecolifetime_yr,0,IF('Pathway definition and results'!$E$26=0,0,IF('Pathway definition and results'!$E$23=1,('1. Pathway 1'!$E$51/1000)*'Data - economic'!$I$76,('1. Pathway 1'!$E$36/1000)*'Data - economic'!$I$76)))</f>
        <v>312774.00000000006</v>
      </c>
      <c r="I114" s="223">
        <f>IF(I81&gt;e_ecolifetime_yr,0,IF('Pathway definition and results'!$E$26=0,0,IF('Pathway definition and results'!$E$23=1,('1. Pathway 1'!$E$51/1000)*'Data - economic'!$I$76,('1. Pathway 1'!$E$36/1000)*'Data - economic'!$I$76)))</f>
        <v>312774.00000000006</v>
      </c>
      <c r="J114" s="223">
        <f>IF(J81&gt;e_ecolifetime_yr,0,IF('Pathway definition and results'!$E$26=0,0,IF('Pathway definition and results'!$E$23=1,('1. Pathway 1'!$E$51/1000)*'Data - economic'!$I$76,('1. Pathway 1'!$E$36/1000)*'Data - economic'!$I$76)))</f>
        <v>312774.00000000006</v>
      </c>
      <c r="K114" s="223">
        <f>IF(K81&gt;e_ecolifetime_yr,0,IF('Pathway definition and results'!$E$26=0,0,IF('Pathway definition and results'!$E$23=1,('1. Pathway 1'!$E$51/1000)*'Data - economic'!$I$76,('1. Pathway 1'!$E$36/1000)*'Data - economic'!$I$76)))</f>
        <v>312774.00000000006</v>
      </c>
      <c r="L114" s="223">
        <f>IF(L81&gt;e_ecolifetime_yr,0,IF('Pathway definition and results'!$E$26=0,0,IF('Pathway definition and results'!$E$23=1,('1. Pathway 1'!$E$51/1000)*'Data - economic'!$I$76,('1. Pathway 1'!$E$36/1000)*'Data - economic'!$I$76)))</f>
        <v>312774.00000000006</v>
      </c>
      <c r="M114" s="223">
        <f>IF(M81&gt;e_ecolifetime_yr,0,IF('Pathway definition and results'!$E$26=0,0,IF('Pathway definition and results'!$E$23=1,('1. Pathway 1'!$E$51/1000)*'Data - economic'!$I$76,('1. Pathway 1'!$E$36/1000)*'Data - economic'!$I$76)))</f>
        <v>312774.00000000006</v>
      </c>
      <c r="N114" s="223">
        <f>IF(N81&gt;e_ecolifetime_yr,0,IF('Pathway definition and results'!$E$26=0,0,IF('Pathway definition and results'!$E$23=1,('1. Pathway 1'!$E$51/1000)*'Data - economic'!$I$76,('1. Pathway 1'!$E$36/1000)*'Data - economic'!$I$76)))</f>
        <v>312774.00000000006</v>
      </c>
      <c r="O114" s="223">
        <f>IF(O81&gt;e_ecolifetime_yr,0,IF('Pathway definition and results'!$E$26=0,0,IF('Pathway definition and results'!$E$23=1,('1. Pathway 1'!$E$51/1000)*'Data - economic'!$I$76,('1. Pathway 1'!$E$36/1000)*'Data - economic'!$I$76)))</f>
        <v>312774.00000000006</v>
      </c>
      <c r="P114" s="223">
        <f>IF(P81&gt;e_ecolifetime_yr,0,IF('Pathway definition and results'!$E$26=0,0,IF('Pathway definition and results'!$E$23=1,('1. Pathway 1'!$E$51/1000)*'Data - economic'!$I$76,('1. Pathway 1'!$E$36/1000)*'Data - economic'!$I$76)))</f>
        <v>312774.00000000006</v>
      </c>
      <c r="Q114" s="223">
        <f>IF(Q81&gt;e_ecolifetime_yr,0,IF('Pathway definition and results'!$E$26=0,0,IF('Pathway definition and results'!$E$23=1,('1. Pathway 1'!$E$51/1000)*'Data - economic'!$I$76,('1. Pathway 1'!$E$36/1000)*'Data - economic'!$I$76)))</f>
        <v>312774.00000000006</v>
      </c>
      <c r="R114" s="223">
        <f>IF(R81&gt;e_ecolifetime_yr,0,IF('Pathway definition and results'!$E$26=0,0,IF('Pathway definition and results'!$E$23=1,('1. Pathway 1'!$E$51/1000)*'Data - economic'!$I$76,('1. Pathway 1'!$E$36/1000)*'Data - economic'!$I$76)))</f>
        <v>312774.00000000006</v>
      </c>
      <c r="S114" s="223">
        <f>IF(S81&gt;e_ecolifetime_yr,0,IF('Pathway definition and results'!$E$26=0,0,IF('Pathway definition and results'!$E$23=1,('1. Pathway 1'!$E$51/1000)*'Data - economic'!$I$76,('1. Pathway 1'!$E$36/1000)*'Data - economic'!$I$76)))</f>
        <v>312774.00000000006</v>
      </c>
      <c r="T114" s="223">
        <f>IF(T81&gt;e_ecolifetime_yr,0,IF('Pathway definition and results'!$E$26=0,0,IF('Pathway definition and results'!$E$23=1,('1. Pathway 1'!$E$51/1000)*'Data - economic'!$I$76,('1. Pathway 1'!$E$36/1000)*'Data - economic'!$I$76)))</f>
        <v>312774.00000000006</v>
      </c>
      <c r="U114" s="223">
        <f>IF(U81&gt;e_ecolifetime_yr,0,IF('Pathway definition and results'!$E$26=0,0,IF('Pathway definition and results'!$E$23=1,('1. Pathway 1'!$E$51/1000)*'Data - economic'!$I$76,('1. Pathway 1'!$E$36/1000)*'Data - economic'!$I$76)))</f>
        <v>0</v>
      </c>
      <c r="V114" s="223">
        <f>IF(V81&gt;e_ecolifetime_yr,0,IF('Pathway definition and results'!$E$26=0,0,IF('Pathway definition and results'!$E$23=1,('1. Pathway 1'!$E$51/1000)*'Data - economic'!$I$76,('1. Pathway 1'!$E$36/1000)*'Data - economic'!$I$76)))</f>
        <v>0</v>
      </c>
      <c r="W114" s="223">
        <f>IF(W81&gt;e_ecolifetime_yr,0,IF('Pathway definition and results'!$E$26=0,0,IF('Pathway definition and results'!$E$23=1,('1. Pathway 1'!$E$51/1000)*'Data - economic'!$I$76,('1. Pathway 1'!$E$36/1000)*'Data - economic'!$I$76)))</f>
        <v>0</v>
      </c>
      <c r="X114" s="223">
        <f>IF(X81&gt;e_ecolifetime_yr,0,IF('Pathway definition and results'!$E$26=0,0,IF('Pathway definition and results'!$E$23=1,('1. Pathway 1'!$E$51/1000)*'Data - economic'!$I$76,('1. Pathway 1'!$E$36/1000)*'Data - economic'!$I$76)))</f>
        <v>0</v>
      </c>
      <c r="Y114" s="223">
        <f>IF(Y81&gt;e_ecolifetime_yr,0,IF('Pathway definition and results'!$E$26=0,0,IF('Pathway definition and results'!$E$23=1,('1. Pathway 1'!$E$51/1000)*'Data - economic'!$I$76,('1. Pathway 1'!$E$36/1000)*'Data - economic'!$I$76)))</f>
        <v>0</v>
      </c>
      <c r="Z114" s="223">
        <f>IF(Z81&gt;e_ecolifetime_yr,0,IF('Pathway definition and results'!$E$26=0,0,IF('Pathway definition and results'!$E$23=1,('1. Pathway 1'!$E$51/1000)*'Data - economic'!$I$76,('1. Pathway 1'!$E$36/1000)*'Data - economic'!$I$76)))</f>
        <v>0</v>
      </c>
      <c r="AA114" s="223">
        <f>IF(AA81&gt;e_ecolifetime_yr,0,IF('Pathway definition and results'!$E$26=0,0,IF('Pathway definition and results'!$E$23=1,('1. Pathway 1'!$E$51/1000)*'Data - economic'!$I$76,('1. Pathway 1'!$E$36/1000)*'Data - economic'!$I$76)))</f>
        <v>0</v>
      </c>
      <c r="AB114" s="223">
        <f>IF(AB81&gt;e_ecolifetime_yr,0,IF('Pathway definition and results'!$E$26=0,0,IF('Pathway definition and results'!$E$23=1,('1. Pathway 1'!$E$51/1000)*'Data - economic'!$I$76,('1. Pathway 1'!$E$36/1000)*'Data - economic'!$I$76)))</f>
        <v>0</v>
      </c>
      <c r="AC114" s="223">
        <f>IF(AC81&gt;e_ecolifetime_yr,0,IF('Pathway definition and results'!$E$26=0,0,IF('Pathway definition and results'!$E$23=1,('1. Pathway 1'!$E$51/1000)*'Data - economic'!$I$76,('1. Pathway 1'!$E$36/1000)*'Data - economic'!$I$76)))</f>
        <v>0</v>
      </c>
      <c r="AD114" s="223">
        <f>IF(AD81&gt;e_ecolifetime_yr,0,IF('Pathway definition and results'!$E$26=0,0,IF('Pathway definition and results'!$E$23=1,('1. Pathway 1'!$E$51/1000)*'Data - economic'!$I$76,('1. Pathway 1'!$E$36/1000)*'Data - economic'!$I$76)))</f>
        <v>0</v>
      </c>
      <c r="AE114" s="223">
        <f>IF(AE81&gt;e_ecolifetime_yr,0,IF('Pathway definition and results'!$E$26=0,0,IF('Pathway definition and results'!$E$23=1,('1. Pathway 1'!$E$51/1000)*'Data - economic'!$I$76,('1. Pathway 1'!$E$36/1000)*'Data - economic'!$I$76)))</f>
        <v>0</v>
      </c>
      <c r="AF114" s="223">
        <f>IF(AF81&gt;e_ecolifetime_yr,0,IF('Pathway definition and results'!$E$26=0,0,IF('Pathway definition and results'!$E$23=1,('1. Pathway 1'!$E$51/1000)*'Data - economic'!$I$76,('1. Pathway 1'!$E$36/1000)*'Data - economic'!$I$76)))</f>
        <v>0</v>
      </c>
      <c r="AG114" s="223">
        <f>IF(AG81&gt;e_ecolifetime_yr,0,IF('Pathway definition and results'!$E$26=0,0,IF('Pathway definition and results'!$E$23=1,('1. Pathway 1'!$E$51/1000)*'Data - economic'!$I$76,('1. Pathway 1'!$E$36/1000)*'Data - economic'!$I$76)))</f>
        <v>0</v>
      </c>
      <c r="AH114" s="223">
        <f>IF(AH81&gt;e_ecolifetime_yr,0,IF('Pathway definition and results'!$E$26=0,0,IF('Pathway definition and results'!$E$23=1,('1. Pathway 1'!$E$51/1000)*'Data - economic'!$I$76,('1. Pathway 1'!$E$36/1000)*'Data - economic'!$I$76)))</f>
        <v>0</v>
      </c>
      <c r="AI114" s="227">
        <f>IF(AI81&gt;e_ecolifetime_yr,0,IF('Pathway definition and results'!$E$26=0,0,IF('Pathway definition and results'!$E$23=1,('1. Pathway 1'!$E$51/1000)*'Data - economic'!$I$76,('1. Pathway 1'!$E$36/1000)*'Data - economic'!$I$76)))</f>
        <v>0</v>
      </c>
    </row>
    <row r="115" spans="2:35" x14ac:dyDescent="0.2">
      <c r="B115" s="9"/>
      <c r="C115" s="21"/>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8"/>
    </row>
    <row r="116" spans="2:35" x14ac:dyDescent="0.2">
      <c r="B116" s="9"/>
      <c r="C116" s="21" t="s">
        <v>447</v>
      </c>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8"/>
    </row>
    <row r="117" spans="2:35" x14ac:dyDescent="0.2">
      <c r="B117" s="9"/>
      <c r="C117" s="21"/>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8"/>
    </row>
    <row r="118" spans="2:35" s="6" customFormat="1" x14ac:dyDescent="0.2">
      <c r="B118" s="10" t="s">
        <v>448</v>
      </c>
      <c r="C118" s="83"/>
      <c r="D118" s="10"/>
      <c r="E118" s="84"/>
      <c r="F118" s="162">
        <f t="shared" ref="F118:AI118" si="3">F112-F91-F82</f>
        <v>-4941586.4591836724</v>
      </c>
      <c r="G118" s="162">
        <f t="shared" si="3"/>
        <v>-4941586.4591836724</v>
      </c>
      <c r="H118" s="162">
        <f t="shared" si="3"/>
        <v>-4941586.4591836724</v>
      </c>
      <c r="I118" s="162">
        <f t="shared" si="3"/>
        <v>-4941586.4591836724</v>
      </c>
      <c r="J118" s="162">
        <f t="shared" si="3"/>
        <v>-4941586.4591836724</v>
      </c>
      <c r="K118" s="162">
        <f t="shared" si="3"/>
        <v>-4941586.4591836724</v>
      </c>
      <c r="L118" s="162">
        <f t="shared" si="3"/>
        <v>-4941586.4591836724</v>
      </c>
      <c r="M118" s="162">
        <f t="shared" si="3"/>
        <v>-7829086.4591836724</v>
      </c>
      <c r="N118" s="162">
        <f t="shared" si="3"/>
        <v>-4941586.4591836724</v>
      </c>
      <c r="O118" s="162">
        <f t="shared" si="3"/>
        <v>-6315183.397959182</v>
      </c>
      <c r="P118" s="162">
        <f t="shared" si="3"/>
        <v>-4941586.4591836724</v>
      </c>
      <c r="Q118" s="162">
        <f t="shared" si="3"/>
        <v>-4941586.4591836724</v>
      </c>
      <c r="R118" s="162">
        <f t="shared" si="3"/>
        <v>-4941586.4591836724</v>
      </c>
      <c r="S118" s="162">
        <f t="shared" si="3"/>
        <v>-4941586.4591836724</v>
      </c>
      <c r="T118" s="162">
        <f t="shared" si="3"/>
        <v>-4941586.4591836724</v>
      </c>
      <c r="U118" s="162">
        <f t="shared" si="3"/>
        <v>0</v>
      </c>
      <c r="V118" s="162">
        <f t="shared" si="3"/>
        <v>0</v>
      </c>
      <c r="W118" s="162">
        <f t="shared" si="3"/>
        <v>0</v>
      </c>
      <c r="X118" s="162">
        <f t="shared" si="3"/>
        <v>0</v>
      </c>
      <c r="Y118" s="162">
        <f t="shared" si="3"/>
        <v>0</v>
      </c>
      <c r="Z118" s="162">
        <f t="shared" si="3"/>
        <v>0</v>
      </c>
      <c r="AA118" s="162">
        <f t="shared" si="3"/>
        <v>0</v>
      </c>
      <c r="AB118" s="162">
        <f t="shared" si="3"/>
        <v>0</v>
      </c>
      <c r="AC118" s="162">
        <f t="shared" si="3"/>
        <v>0</v>
      </c>
      <c r="AD118" s="162">
        <f t="shared" si="3"/>
        <v>0</v>
      </c>
      <c r="AE118" s="162">
        <f t="shared" si="3"/>
        <v>0</v>
      </c>
      <c r="AF118" s="162">
        <f t="shared" si="3"/>
        <v>0</v>
      </c>
      <c r="AG118" s="162">
        <f t="shared" si="3"/>
        <v>0</v>
      </c>
      <c r="AH118" s="162">
        <f t="shared" si="3"/>
        <v>0</v>
      </c>
      <c r="AI118" s="230">
        <f t="shared" si="3"/>
        <v>0</v>
      </c>
    </row>
    <row r="119" spans="2:35" x14ac:dyDescent="0.2">
      <c r="B119" s="8" t="s">
        <v>449</v>
      </c>
      <c r="C119" s="21" t="s">
        <v>416</v>
      </c>
      <c r="E119" s="226"/>
      <c r="F119" s="223">
        <f>IF(F81&gt;e_ecolifetime_yr,0,$E$83/'Data - economic'!$I$94)</f>
        <v>1031250</v>
      </c>
      <c r="G119" s="223">
        <f>IF(G81&gt;e_ecolifetime_yr,0,$E$83/'Data - economic'!$I$94)</f>
        <v>1031250</v>
      </c>
      <c r="H119" s="223">
        <f>IF(H81&gt;e_ecolifetime_yr,0,$E$83/'Data - economic'!$I$94)</f>
        <v>1031250</v>
      </c>
      <c r="I119" s="223">
        <f>IF(I81&gt;e_ecolifetime_yr,0,$E$83/'Data - economic'!$I$94)</f>
        <v>1031250</v>
      </c>
      <c r="J119" s="223">
        <f>IF(J81&gt;e_ecolifetime_yr,0,$E$83/'Data - economic'!$I$94)</f>
        <v>1031250</v>
      </c>
      <c r="K119" s="223">
        <f>IF(K81&gt;e_ecolifetime_yr,0,$E$83/'Data - economic'!$I$94)</f>
        <v>1031250</v>
      </c>
      <c r="L119" s="223">
        <f>IF(L81&gt;e_ecolifetime_yr,0,$E$83/'Data - economic'!$I$94)</f>
        <v>1031250</v>
      </c>
      <c r="M119" s="223">
        <f>IF(M81&gt;e_ecolifetime_yr,0,$E$83/'Data - economic'!$I$94)</f>
        <v>1031250</v>
      </c>
      <c r="N119" s="223">
        <f>IF(N81&gt;e_ecolifetime_yr,0,$E$83/'Data - economic'!$I$94)</f>
        <v>1031250</v>
      </c>
      <c r="O119" s="223">
        <f>IF(O81&gt;e_ecolifetime_yr,0,$E$83/'Data - economic'!$I$94)</f>
        <v>1031250</v>
      </c>
      <c r="P119" s="223">
        <f>IF(P81&gt;e_ecolifetime_yr,0,$E$83/'Data - economic'!$I$94)</f>
        <v>1031250</v>
      </c>
      <c r="Q119" s="223">
        <f>IF(Q81&gt;e_ecolifetime_yr,0,$E$83/'Data - economic'!$I$94)</f>
        <v>1031250</v>
      </c>
      <c r="R119" s="223">
        <f>IF(R81&gt;e_ecolifetime_yr,0,$E$83/'Data - economic'!$I$94)</f>
        <v>1031250</v>
      </c>
      <c r="S119" s="223">
        <f>IF(S81&gt;e_ecolifetime_yr,0,$E$83/'Data - economic'!$I$94)</f>
        <v>1031250</v>
      </c>
      <c r="T119" s="223">
        <f>IF(T81&gt;e_ecolifetime_yr,0,$E$83/'Data - economic'!$I$94)</f>
        <v>1031250</v>
      </c>
      <c r="U119" s="223">
        <f>IF(U81&gt;e_ecolifetime_yr,0,$E$83/'Data - economic'!$I$94)</f>
        <v>0</v>
      </c>
      <c r="V119" s="223">
        <f>IF(V81&gt;e_ecolifetime_yr,0,$E$83/'Data - economic'!$I$94)</f>
        <v>0</v>
      </c>
      <c r="W119" s="223">
        <f>IF(W81&gt;e_ecolifetime_yr,0,$E$83/'Data - economic'!$I$94)</f>
        <v>0</v>
      </c>
      <c r="X119" s="223">
        <f>IF(X81&gt;e_ecolifetime_yr,0,$E$83/'Data - economic'!$I$94)</f>
        <v>0</v>
      </c>
      <c r="Y119" s="223">
        <f>IF(Y81&gt;e_ecolifetime_yr,0,$E$83/'Data - economic'!$I$94)</f>
        <v>0</v>
      </c>
      <c r="Z119" s="223">
        <f>IF(Z81&gt;e_ecolifetime_yr,0,$E$83/'Data - economic'!$I$94)</f>
        <v>0</v>
      </c>
      <c r="AA119" s="223">
        <f>IF(AA81&gt;e_ecolifetime_yr,0,$E$83/'Data - economic'!$I$94)</f>
        <v>0</v>
      </c>
      <c r="AB119" s="223">
        <f>IF(AB81&gt;e_ecolifetime_yr,0,$E$83/'Data - economic'!$I$94)</f>
        <v>0</v>
      </c>
      <c r="AC119" s="223">
        <f>IF(AC81&gt;e_ecolifetime_yr,0,$E$83/'Data - economic'!$I$94)</f>
        <v>0</v>
      </c>
      <c r="AD119" s="223">
        <f>IF(AD81&gt;e_ecolifetime_yr,0,$E$83/'Data - economic'!$I$94)</f>
        <v>0</v>
      </c>
      <c r="AE119" s="223">
        <f>IF(AE81&gt;e_ecolifetime_yr,0,$E$83/'Data - economic'!$I$94)</f>
        <v>0</v>
      </c>
      <c r="AF119" s="223">
        <f>IF(AF81&gt;e_ecolifetime_yr,0,$E$83/'Data - economic'!$I$94)</f>
        <v>0</v>
      </c>
      <c r="AG119" s="223">
        <f>IF(AG81&gt;e_ecolifetime_yr,0,$E$83/'Data - economic'!$I$94)</f>
        <v>0</v>
      </c>
      <c r="AH119" s="223">
        <f>IF(AH81&gt;e_ecolifetime_yr,0,$E$83/'Data - economic'!$I$94)</f>
        <v>0</v>
      </c>
      <c r="AI119" s="227">
        <f>IF(AI81&gt;e_ecolifetime_yr,0,$E$83/'Data - economic'!$I$94)</f>
        <v>0</v>
      </c>
    </row>
    <row r="120" spans="2:35" x14ac:dyDescent="0.2">
      <c r="B120" s="9"/>
      <c r="C120" s="21" t="s">
        <v>425</v>
      </c>
      <c r="E120" s="226"/>
      <c r="F120" s="223">
        <f>IF(F81&gt;e_ecolifetime_yr,0,$E$85/'Data - economic'!$I$101)</f>
        <v>0</v>
      </c>
      <c r="G120" s="223">
        <f>IF(G81&gt;e_ecolifetime_yr,0,$E$85/'Data - economic'!$I$101)</f>
        <v>0</v>
      </c>
      <c r="H120" s="223">
        <f>IF(H81&gt;e_ecolifetime_yr,0,$E$85/'Data - economic'!$I$101)</f>
        <v>0</v>
      </c>
      <c r="I120" s="223">
        <f>IF(I81&gt;e_ecolifetime_yr,0,$E$85/'Data - economic'!$I$101)</f>
        <v>0</v>
      </c>
      <c r="J120" s="223">
        <f>IF(J81&gt;e_ecolifetime_yr,0,$E$85/'Data - economic'!$I$101)</f>
        <v>0</v>
      </c>
      <c r="K120" s="223">
        <f>IF(K81&gt;e_ecolifetime_yr,0,$E$85/'Data - economic'!$I$101)</f>
        <v>0</v>
      </c>
      <c r="L120" s="223">
        <f>IF(L81&gt;e_ecolifetime_yr,0,$E$85/'Data - economic'!$I$101)</f>
        <v>0</v>
      </c>
      <c r="M120" s="223">
        <f>IF(M81&gt;e_ecolifetime_yr,0,$E$85/'Data - economic'!$I$101)</f>
        <v>0</v>
      </c>
      <c r="N120" s="223">
        <f>IF(N81&gt;e_ecolifetime_yr,0,$E$85/'Data - economic'!$I$101)</f>
        <v>0</v>
      </c>
      <c r="O120" s="223">
        <f>IF(O81&gt;e_ecolifetime_yr,0,$E$85/'Data - economic'!$I$101)</f>
        <v>0</v>
      </c>
      <c r="P120" s="223">
        <f>IF(P81&gt;e_ecolifetime_yr,0,$E$85/'Data - economic'!$I$101)</f>
        <v>0</v>
      </c>
      <c r="Q120" s="223">
        <f>IF(Q81&gt;e_ecolifetime_yr,0,$E$85/'Data - economic'!$I$101)</f>
        <v>0</v>
      </c>
      <c r="R120" s="223">
        <f>IF(R81&gt;e_ecolifetime_yr,0,$E$85/'Data - economic'!$I$101)</f>
        <v>0</v>
      </c>
      <c r="S120" s="223">
        <f>IF(S81&gt;e_ecolifetime_yr,0,$E$85/'Data - economic'!$I$101)</f>
        <v>0</v>
      </c>
      <c r="T120" s="223">
        <f>IF(T81&gt;e_ecolifetime_yr,0,$E$85/'Data - economic'!$I$101)</f>
        <v>0</v>
      </c>
      <c r="U120" s="223">
        <f>IF(U81&gt;e_ecolifetime_yr,0,$E$85/'Data - economic'!$I$101)</f>
        <v>0</v>
      </c>
      <c r="V120" s="223">
        <f>IF(V81&gt;e_ecolifetime_yr,0,$E$85/'Data - economic'!$I$101)</f>
        <v>0</v>
      </c>
      <c r="W120" s="223">
        <f>IF(W81&gt;e_ecolifetime_yr,0,$E$85/'Data - economic'!$I$101)</f>
        <v>0</v>
      </c>
      <c r="X120" s="223">
        <f>IF(X81&gt;e_ecolifetime_yr,0,$E$85/'Data - economic'!$I$101)</f>
        <v>0</v>
      </c>
      <c r="Y120" s="223">
        <f>IF(Y81&gt;e_ecolifetime_yr,0,$E$85/'Data - economic'!$I$101)</f>
        <v>0</v>
      </c>
      <c r="Z120" s="223">
        <f>IF(Z81&gt;e_ecolifetime_yr,0,$E$85/'Data - economic'!$I$101)</f>
        <v>0</v>
      </c>
      <c r="AA120" s="223">
        <f>IF(AA81&gt;e_ecolifetime_yr,0,$E$85/'Data - economic'!$I$101)</f>
        <v>0</v>
      </c>
      <c r="AB120" s="223">
        <f>IF(AB81&gt;e_ecolifetime_yr,0,$E$85/'Data - economic'!$I$101)</f>
        <v>0</v>
      </c>
      <c r="AC120" s="223">
        <f>IF(AC81&gt;e_ecolifetime_yr,0,$E$85/'Data - economic'!$I$101)</f>
        <v>0</v>
      </c>
      <c r="AD120" s="223">
        <f>IF(AD81&gt;e_ecolifetime_yr,0,$E$85/'Data - economic'!$I$101)</f>
        <v>0</v>
      </c>
      <c r="AE120" s="223">
        <f>IF(AE81&gt;e_ecolifetime_yr,0,$E$85/'Data - economic'!$I$101)</f>
        <v>0</v>
      </c>
      <c r="AF120" s="223">
        <f>IF(AF81&gt;e_ecolifetime_yr,0,$E$85/'Data - economic'!$I$101)</f>
        <v>0</v>
      </c>
      <c r="AG120" s="223">
        <f>IF(AG81&gt;e_ecolifetime_yr,0,$E$85/'Data - economic'!$I$101)</f>
        <v>0</v>
      </c>
      <c r="AH120" s="223">
        <f>IF(AH81&gt;e_ecolifetime_yr,0,$E$85/'Data - economic'!$I$101)</f>
        <v>0</v>
      </c>
      <c r="AI120" s="227">
        <f>IF(AI81&gt;e_ecolifetime_yr,0,$E$85/'Data - economic'!$I$101)</f>
        <v>0</v>
      </c>
    </row>
    <row r="121" spans="2:35" ht="13.8" x14ac:dyDescent="0.3">
      <c r="B121" s="9"/>
      <c r="C121" s="21" t="s">
        <v>440</v>
      </c>
      <c r="E121" s="226"/>
      <c r="F121" s="223">
        <f>IF(F81&gt;e_ecolifetime_yr,0,$E$87/'Data - economic'!$I$107)</f>
        <v>137359.69387755101</v>
      </c>
      <c r="G121" s="223">
        <f>IF(G81&gt;e_ecolifetime_yr,0,$E$87/'Data - economic'!$I$107)</f>
        <v>137359.69387755101</v>
      </c>
      <c r="H121" s="223">
        <f>IF(H81&gt;e_ecolifetime_yr,0,$E$87/'Data - economic'!$I$107)</f>
        <v>137359.69387755101</v>
      </c>
      <c r="I121" s="223">
        <f>IF(I81&gt;e_ecolifetime_yr,0,$E$87/'Data - economic'!$I$107)</f>
        <v>137359.69387755101</v>
      </c>
      <c r="J121" s="223">
        <f>IF(J81&gt;e_ecolifetime_yr,0,$E$87/'Data - economic'!$I$107)</f>
        <v>137359.69387755101</v>
      </c>
      <c r="K121" s="223">
        <f>IF(K81&gt;e_ecolifetime_yr,0,$E$87/'Data - economic'!$I$107)</f>
        <v>137359.69387755101</v>
      </c>
      <c r="L121" s="223">
        <f>IF(L81&gt;e_ecolifetime_yr,0,$E$87/'Data - economic'!$I$107)</f>
        <v>137359.69387755101</v>
      </c>
      <c r="M121" s="223">
        <f>IF(M81&gt;e_ecolifetime_yr,0,$E$87/'Data - economic'!$I$107)</f>
        <v>137359.69387755101</v>
      </c>
      <c r="N121" s="223">
        <f>IF(N81&gt;e_ecolifetime_yr,0,$E$87/'Data - economic'!$I$107)</f>
        <v>137359.69387755101</v>
      </c>
      <c r="O121" s="223">
        <f>IF(O81&gt;e_ecolifetime_yr,0,$E$87/'Data - economic'!$I$107)</f>
        <v>137359.69387755101</v>
      </c>
      <c r="P121" s="223">
        <f>IF(P81&gt;e_ecolifetime_yr,0,$E$87/'Data - economic'!$I$107)</f>
        <v>137359.69387755101</v>
      </c>
      <c r="Q121" s="223">
        <f>IF(Q81&gt;e_ecolifetime_yr,0,$E$87/'Data - economic'!$I$107)</f>
        <v>137359.69387755101</v>
      </c>
      <c r="R121" s="223">
        <f>IF(R81&gt;e_ecolifetime_yr,0,$E$87/'Data - economic'!$I$107)</f>
        <v>137359.69387755101</v>
      </c>
      <c r="S121" s="223">
        <f>IF(S81&gt;e_ecolifetime_yr,0,$E$87/'Data - economic'!$I$107)</f>
        <v>137359.69387755101</v>
      </c>
      <c r="T121" s="223">
        <f>IF(T81&gt;e_ecolifetime_yr,0,$E$87/'Data - economic'!$I$107)</f>
        <v>137359.69387755101</v>
      </c>
      <c r="U121" s="223">
        <f>IF(U81&gt;e_ecolifetime_yr,0,$E$87/'Data - economic'!$I$107)</f>
        <v>0</v>
      </c>
      <c r="V121" s="223">
        <f>IF(V81&gt;e_ecolifetime_yr,0,$E$87/'Data - economic'!$I$107)</f>
        <v>0</v>
      </c>
      <c r="W121" s="223">
        <f>IF(W81&gt;e_ecolifetime_yr,0,$E$87/'Data - economic'!$I$107)</f>
        <v>0</v>
      </c>
      <c r="X121" s="223">
        <f>IF(X81&gt;e_ecolifetime_yr,0,$E$87/'Data - economic'!$I$107)</f>
        <v>0</v>
      </c>
      <c r="Y121" s="223">
        <f>IF(Y81&gt;e_ecolifetime_yr,0,$E$87/'Data - economic'!$I$107)</f>
        <v>0</v>
      </c>
      <c r="Z121" s="223">
        <f>IF(Z81&gt;e_ecolifetime_yr,0,$E$87/'Data - economic'!$I$107)</f>
        <v>0</v>
      </c>
      <c r="AA121" s="223">
        <f>IF(AA81&gt;e_ecolifetime_yr,0,$E$87/'Data - economic'!$I$107)</f>
        <v>0</v>
      </c>
      <c r="AB121" s="223">
        <f>IF(AB81&gt;e_ecolifetime_yr,0,$E$87/'Data - economic'!$I$107)</f>
        <v>0</v>
      </c>
      <c r="AC121" s="223">
        <f>IF(AC81&gt;e_ecolifetime_yr,0,$E$87/'Data - economic'!$I$107)</f>
        <v>0</v>
      </c>
      <c r="AD121" s="223">
        <f>IF(AD81&gt;e_ecolifetime_yr,0,$E$87/'Data - economic'!$I$107)</f>
        <v>0</v>
      </c>
      <c r="AE121" s="223">
        <f>IF(AE81&gt;e_ecolifetime_yr,0,$E$87/'Data - economic'!$I$107)</f>
        <v>0</v>
      </c>
      <c r="AF121" s="223">
        <f>IF(AF81&gt;e_ecolifetime_yr,0,$E$87/'Data - economic'!$I$107)</f>
        <v>0</v>
      </c>
      <c r="AG121" s="223">
        <f>IF(AG81&gt;e_ecolifetime_yr,0,$E$87/'Data - economic'!$I$107)</f>
        <v>0</v>
      </c>
      <c r="AH121" s="223">
        <f>IF(AH81&gt;e_ecolifetime_yr,0,$E$87/'Data - economic'!$I$107)</f>
        <v>0</v>
      </c>
      <c r="AI121" s="227">
        <f>IF(AI81&gt;e_ecolifetime_yr,0,$E$87/'Data - economic'!$I$107)</f>
        <v>0</v>
      </c>
    </row>
    <row r="122" spans="2:35" ht="13.8" x14ac:dyDescent="0.3">
      <c r="B122" s="9"/>
      <c r="C122" s="21" t="s">
        <v>243</v>
      </c>
      <c r="E122" s="226"/>
      <c r="F122" s="223">
        <f>IF(F81&gt;e_ecolifetime_yr,0,$E$89/'Data - economic'!$I$111)</f>
        <v>79918.367346938758</v>
      </c>
      <c r="G122" s="223">
        <f>IF(G81&gt;e_ecolifetime_yr,0,$E$89/'Data - economic'!$I$111)</f>
        <v>79918.367346938758</v>
      </c>
      <c r="H122" s="223">
        <f>IF(H81&gt;e_ecolifetime_yr,0,$E$89/'Data - economic'!$I$111)</f>
        <v>79918.367346938758</v>
      </c>
      <c r="I122" s="223">
        <f>IF(I81&gt;e_ecolifetime_yr,0,$E$89/'Data - economic'!$I$111)</f>
        <v>79918.367346938758</v>
      </c>
      <c r="J122" s="223">
        <f>IF(J81&gt;e_ecolifetime_yr,0,$E$89/'Data - economic'!$I$111)</f>
        <v>79918.367346938758</v>
      </c>
      <c r="K122" s="223">
        <f>IF(K81&gt;e_ecolifetime_yr,0,$E$89/'Data - economic'!$I$111)</f>
        <v>79918.367346938758</v>
      </c>
      <c r="L122" s="223">
        <f>IF(L81&gt;e_ecolifetime_yr,0,$E$89/'Data - economic'!$I$111)</f>
        <v>79918.367346938758</v>
      </c>
      <c r="M122" s="223">
        <f>IF(M81&gt;e_ecolifetime_yr,0,$E$89/'Data - economic'!$I$111)</f>
        <v>79918.367346938758</v>
      </c>
      <c r="N122" s="223">
        <f>IF(N81&gt;e_ecolifetime_yr,0,$E$89/'Data - economic'!$I$111)</f>
        <v>79918.367346938758</v>
      </c>
      <c r="O122" s="223">
        <f>IF(O81&gt;e_ecolifetime_yr,0,$E$89/'Data - economic'!$I$111)</f>
        <v>79918.367346938758</v>
      </c>
      <c r="P122" s="223">
        <f>IF(P81&gt;e_ecolifetime_yr,0,$E$89/'Data - economic'!$I$111)</f>
        <v>79918.367346938758</v>
      </c>
      <c r="Q122" s="223">
        <f>IF(Q81&gt;e_ecolifetime_yr,0,$E$89/'Data - economic'!$I$111)</f>
        <v>79918.367346938758</v>
      </c>
      <c r="R122" s="223">
        <f>IF(R81&gt;e_ecolifetime_yr,0,$E$89/'Data - economic'!$I$111)</f>
        <v>79918.367346938758</v>
      </c>
      <c r="S122" s="223">
        <f>IF(S81&gt;e_ecolifetime_yr,0,$E$89/'Data - economic'!$I$111)</f>
        <v>79918.367346938758</v>
      </c>
      <c r="T122" s="223">
        <f>IF(T81&gt;e_ecolifetime_yr,0,$E$89/'Data - economic'!$I$111)</f>
        <v>79918.367346938758</v>
      </c>
      <c r="U122" s="223">
        <f>IF(U81&gt;e_ecolifetime_yr,0,$E$89/'Data - economic'!$I$111)</f>
        <v>0</v>
      </c>
      <c r="V122" s="223">
        <f>IF(V81&gt;e_ecolifetime_yr,0,$E$89/'Data - economic'!$I$111)</f>
        <v>0</v>
      </c>
      <c r="W122" s="223">
        <f>IF(W81&gt;e_ecolifetime_yr,0,$E$89/'Data - economic'!$I$111)</f>
        <v>0</v>
      </c>
      <c r="X122" s="223">
        <f>IF(X81&gt;e_ecolifetime_yr,0,$E$89/'Data - economic'!$I$111)</f>
        <v>0</v>
      </c>
      <c r="Y122" s="223">
        <f>IF(Y81&gt;e_ecolifetime_yr,0,$E$89/'Data - economic'!$I$111)</f>
        <v>0</v>
      </c>
      <c r="Z122" s="223">
        <f>IF(Z81&gt;e_ecolifetime_yr,0,$E$89/'Data - economic'!$I$111)</f>
        <v>0</v>
      </c>
      <c r="AA122" s="223">
        <f>IF(AA81&gt;e_ecolifetime_yr,0,$E$89/'Data - economic'!$I$111)</f>
        <v>0</v>
      </c>
      <c r="AB122" s="223">
        <f>IF(AB81&gt;e_ecolifetime_yr,0,$E$89/'Data - economic'!$I$111)</f>
        <v>0</v>
      </c>
      <c r="AC122" s="223">
        <f>IF(AC81&gt;e_ecolifetime_yr,0,$E$89/'Data - economic'!$I$111)</f>
        <v>0</v>
      </c>
      <c r="AD122" s="223">
        <f>IF(AD81&gt;e_ecolifetime_yr,0,$E$89/'Data - economic'!$I$111)</f>
        <v>0</v>
      </c>
      <c r="AE122" s="223">
        <f>IF(AE81&gt;e_ecolifetime_yr,0,$E$89/'Data - economic'!$I$111)</f>
        <v>0</v>
      </c>
      <c r="AF122" s="223">
        <f>IF(AF81&gt;e_ecolifetime_yr,0,$E$89/'Data - economic'!$I$111)</f>
        <v>0</v>
      </c>
      <c r="AG122" s="223">
        <f>IF(AG81&gt;e_ecolifetime_yr,0,$E$89/'Data - economic'!$I$111)</f>
        <v>0</v>
      </c>
      <c r="AH122" s="223">
        <f>IF(AH81&gt;e_ecolifetime_yr,0,$E$89/'Data - economic'!$I$111)</f>
        <v>0</v>
      </c>
      <c r="AI122" s="227">
        <f>IF(AI81&gt;e_ecolifetime_yr,0,$E$89/'Data - economic'!$I$111)</f>
        <v>0</v>
      </c>
    </row>
    <row r="123" spans="2:35" x14ac:dyDescent="0.2">
      <c r="B123" s="39" t="s">
        <v>450</v>
      </c>
      <c r="C123" s="21"/>
      <c r="D123" s="9"/>
      <c r="E123" s="231"/>
      <c r="F123" s="231">
        <f t="shared" ref="F123:AI123" si="4">SUM(F119:F122)</f>
        <v>1248528.0612244897</v>
      </c>
      <c r="G123" s="231">
        <f t="shared" si="4"/>
        <v>1248528.0612244897</v>
      </c>
      <c r="H123" s="231">
        <f t="shared" si="4"/>
        <v>1248528.0612244897</v>
      </c>
      <c r="I123" s="231">
        <f t="shared" si="4"/>
        <v>1248528.0612244897</v>
      </c>
      <c r="J123" s="231">
        <f t="shared" si="4"/>
        <v>1248528.0612244897</v>
      </c>
      <c r="K123" s="231">
        <f t="shared" si="4"/>
        <v>1248528.0612244897</v>
      </c>
      <c r="L123" s="231">
        <f t="shared" si="4"/>
        <v>1248528.0612244897</v>
      </c>
      <c r="M123" s="231">
        <f t="shared" si="4"/>
        <v>1248528.0612244897</v>
      </c>
      <c r="N123" s="231">
        <f t="shared" si="4"/>
        <v>1248528.0612244897</v>
      </c>
      <c r="O123" s="231">
        <f t="shared" si="4"/>
        <v>1248528.0612244897</v>
      </c>
      <c r="P123" s="231">
        <f t="shared" si="4"/>
        <v>1248528.0612244897</v>
      </c>
      <c r="Q123" s="231">
        <f t="shared" si="4"/>
        <v>1248528.0612244897</v>
      </c>
      <c r="R123" s="231">
        <f t="shared" si="4"/>
        <v>1248528.0612244897</v>
      </c>
      <c r="S123" s="231">
        <f t="shared" si="4"/>
        <v>1248528.0612244897</v>
      </c>
      <c r="T123" s="231">
        <f t="shared" si="4"/>
        <v>1248528.0612244897</v>
      </c>
      <c r="U123" s="231">
        <f t="shared" si="4"/>
        <v>0</v>
      </c>
      <c r="V123" s="231">
        <f t="shared" si="4"/>
        <v>0</v>
      </c>
      <c r="W123" s="231">
        <f t="shared" si="4"/>
        <v>0</v>
      </c>
      <c r="X123" s="231">
        <f t="shared" si="4"/>
        <v>0</v>
      </c>
      <c r="Y123" s="231">
        <f t="shared" si="4"/>
        <v>0</v>
      </c>
      <c r="Z123" s="231">
        <f t="shared" si="4"/>
        <v>0</v>
      </c>
      <c r="AA123" s="231">
        <f t="shared" si="4"/>
        <v>0</v>
      </c>
      <c r="AB123" s="231">
        <f t="shared" si="4"/>
        <v>0</v>
      </c>
      <c r="AC123" s="231">
        <f t="shared" si="4"/>
        <v>0</v>
      </c>
      <c r="AD123" s="231">
        <f t="shared" si="4"/>
        <v>0</v>
      </c>
      <c r="AE123" s="231">
        <f t="shared" si="4"/>
        <v>0</v>
      </c>
      <c r="AF123" s="231">
        <f t="shared" si="4"/>
        <v>0</v>
      </c>
      <c r="AG123" s="231">
        <f t="shared" si="4"/>
        <v>0</v>
      </c>
      <c r="AH123" s="231">
        <f t="shared" si="4"/>
        <v>0</v>
      </c>
      <c r="AI123" s="232">
        <f t="shared" si="4"/>
        <v>0</v>
      </c>
    </row>
    <row r="124" spans="2:35" x14ac:dyDescent="0.2">
      <c r="B124" s="39" t="s">
        <v>451</v>
      </c>
      <c r="C124" s="9"/>
      <c r="E124" s="226" cm="1">
        <f t="array" ref="E124">e_debt_ratio*'1. Pathway 1'!E82</f>
        <v>8657897.9591836724</v>
      </c>
      <c r="F124" s="226" cm="1">
        <f t="array" ref="F124">IF(F81&gt;e_ecolifetime_yr,0,E124*e_interestrate)</f>
        <v>432894.89795918367</v>
      </c>
      <c r="G124" s="226" cm="1">
        <f t="array" ref="G124">IF(G81&gt;e_ecolifetime_yr,0,($E$124-(F125*F81))*e_interestrate)</f>
        <v>404035.23809523811</v>
      </c>
      <c r="H124" s="226" cm="1">
        <f t="array" ref="H124">IF(H81&gt;e_ecolifetime_yr,0,($E$124-(G125*G81))*e_interestrate)</f>
        <v>375175.57823129254</v>
      </c>
      <c r="I124" s="226" cm="1">
        <f t="array" ref="I124">IF(I81&gt;e_ecolifetime_yr,0,($E$124-(H125*H81))*e_interestrate)</f>
        <v>346315.91836734692</v>
      </c>
      <c r="J124" s="226" cm="1">
        <f t="array" ref="J124">IF(J81&gt;e_ecolifetime_yr,0,($E$124-(I125*I81))*e_interestrate)</f>
        <v>317456.25850340136</v>
      </c>
      <c r="K124" s="226" cm="1">
        <f t="array" ref="K124">IF(K81&gt;e_ecolifetime_yr,0,($E$124-(J125*J81))*e_interestrate)</f>
        <v>288596.5986394558</v>
      </c>
      <c r="L124" s="226" cm="1">
        <f t="array" ref="L124">IF(L81&gt;e_ecolifetime_yr,0,($E$124-(K125*K81))*e_interestrate)</f>
        <v>259736.93877551018</v>
      </c>
      <c r="M124" s="226" cm="1">
        <f t="array" ref="M124">IF(M81&gt;e_ecolifetime_yr,0,($E$124-(L125*L81))*e_interestrate)</f>
        <v>230877.27891156462</v>
      </c>
      <c r="N124" s="226" cm="1">
        <f t="array" ref="N124">IF(N81&gt;e_ecolifetime_yr,0,($E$124-(M125*M81))*e_interestrate)</f>
        <v>202017.61904761905</v>
      </c>
      <c r="O124" s="226" cm="1">
        <f t="array" ref="O124">IF(O81&gt;e_ecolifetime_yr,0,($E$124-(N125*N81))*e_interestrate)</f>
        <v>173157.95918367349</v>
      </c>
      <c r="P124" s="226" cm="1">
        <f t="array" ref="P124">IF(P81&gt;e_ecolifetime_yr,0,($E$124-(O125*O81))*e_interestrate)</f>
        <v>144298.2993197279</v>
      </c>
      <c r="Q124" s="226" cm="1">
        <f t="array" ref="Q124">IF(Q81&gt;e_ecolifetime_yr,0,($E$124-(P125*P81))*e_interestrate)</f>
        <v>115438.63945578231</v>
      </c>
      <c r="R124" s="226" cm="1">
        <f t="array" ref="R124">IF(R81&gt;e_ecolifetime_yr,0,($E$124-(Q125*Q81))*e_interestrate)</f>
        <v>86578.979591836745</v>
      </c>
      <c r="S124" s="226" cm="1">
        <f t="array" ref="S124">IF(S81&gt;e_ecolifetime_yr,0,($E$124-(R125*R81))*e_interestrate)</f>
        <v>57719.319727891176</v>
      </c>
      <c r="T124" s="226" cm="1">
        <f t="array" ref="T124">IF(T81&gt;e_ecolifetime_yr,0,($E$124-(S125*S81))*e_interestrate)</f>
        <v>28859.659863945562</v>
      </c>
      <c r="U124" s="226" cm="1">
        <f t="array" ref="U124">IF(U81&gt;e_ecolifetime_yr,0,($E$124-(T125*T81))*e_interestrate)</f>
        <v>0</v>
      </c>
      <c r="V124" s="226" cm="1">
        <f t="array" ref="V124">IF(V81&gt;e_ecolifetime_yr,0,($E$124-(U125*U81))*e_interestrate)</f>
        <v>0</v>
      </c>
      <c r="W124" s="226" cm="1">
        <f t="array" ref="W124">IF(W81&gt;e_ecolifetime_yr,0,($E$124-(V125*V81))*e_interestrate)</f>
        <v>0</v>
      </c>
      <c r="X124" s="226" cm="1">
        <f t="array" ref="X124">IF(X81&gt;e_ecolifetime_yr,0,($E$124-(W125*W81))*e_interestrate)</f>
        <v>0</v>
      </c>
      <c r="Y124" s="226" cm="1">
        <f t="array" ref="Y124">IF(Y81&gt;e_ecolifetime_yr,0,($E$124-(X125*X81))*e_interestrate)</f>
        <v>0</v>
      </c>
      <c r="Z124" s="226" cm="1">
        <f t="array" ref="Z124">IF(Z81&gt;e_ecolifetime_yr,0,($E$124-(Y125*Y81))*e_interestrate)</f>
        <v>0</v>
      </c>
      <c r="AA124" s="226" cm="1">
        <f t="array" ref="AA124">IF(AA81&gt;e_ecolifetime_yr,0,($E$124-(Z125*Z81))*e_interestrate)</f>
        <v>0</v>
      </c>
      <c r="AB124" s="226" cm="1">
        <f t="array" ref="AB124">IF(AB81&gt;e_ecolifetime_yr,0,($E$124-(AA125*AA81))*e_interestrate)</f>
        <v>0</v>
      </c>
      <c r="AC124" s="226" cm="1">
        <f t="array" ref="AC124">IF(AC81&gt;e_ecolifetime_yr,0,($E$124-(AB125*AB81))*e_interestrate)</f>
        <v>0</v>
      </c>
      <c r="AD124" s="226" cm="1">
        <f t="array" ref="AD124">IF(AD81&gt;e_ecolifetime_yr,0,($E$124-(AC125*AC81))*e_interestrate)</f>
        <v>0</v>
      </c>
      <c r="AE124" s="226" cm="1">
        <f t="array" ref="AE124">IF(AE81&gt;e_ecolifetime_yr,0,($E$124-(AD125*AD81))*e_interestrate)</f>
        <v>0</v>
      </c>
      <c r="AF124" s="226" cm="1">
        <f t="array" ref="AF124">IF(AF81&gt;e_ecolifetime_yr,0,($E$124-(AE125*AE81))*e_interestrate)</f>
        <v>0</v>
      </c>
      <c r="AG124" s="226" cm="1">
        <f t="array" ref="AG124">IF(AG81&gt;e_ecolifetime_yr,0,($E$124-(AF125*AF81))*e_interestrate)</f>
        <v>0</v>
      </c>
      <c r="AH124" s="226" cm="1">
        <f t="array" ref="AH124">IF(AH81&gt;e_ecolifetime_yr,0,($E$124-(AG125*AG81))*e_interestrate)</f>
        <v>0</v>
      </c>
      <c r="AI124" s="228" cm="1">
        <f t="array" ref="AI124">IF(AI81&gt;e_ecolifetime_yr,0,($E$124-(AH125*AH81))*e_interestrate)</f>
        <v>0</v>
      </c>
    </row>
    <row r="125" spans="2:35" x14ac:dyDescent="0.2">
      <c r="B125" s="39" t="s">
        <v>452</v>
      </c>
      <c r="C125" s="9"/>
      <c r="E125" s="226"/>
      <c r="F125" s="226" cm="1">
        <f t="array" ref="F125">IF(F81&gt;e_ecolifetime_yr,0,$E$124/e_ecolifetime_yr)</f>
        <v>577193.19727891148</v>
      </c>
      <c r="G125" s="226" cm="1">
        <f t="array" ref="G125">IF(G81&gt;e_ecolifetime_yr,0,$E$124/e_ecolifetime_yr)</f>
        <v>577193.19727891148</v>
      </c>
      <c r="H125" s="226" cm="1">
        <f t="array" ref="H125">IF(H81&gt;e_ecolifetime_yr,0,$E$124/e_ecolifetime_yr)</f>
        <v>577193.19727891148</v>
      </c>
      <c r="I125" s="226" cm="1">
        <f t="array" ref="I125">IF(I81&gt;e_ecolifetime_yr,0,$E$124/e_ecolifetime_yr)</f>
        <v>577193.19727891148</v>
      </c>
      <c r="J125" s="226" cm="1">
        <f t="array" ref="J125">IF(J81&gt;e_ecolifetime_yr,0,$E$124/e_ecolifetime_yr)</f>
        <v>577193.19727891148</v>
      </c>
      <c r="K125" s="226" cm="1">
        <f t="array" ref="K125">IF(K81&gt;e_ecolifetime_yr,0,$E$124/e_ecolifetime_yr)</f>
        <v>577193.19727891148</v>
      </c>
      <c r="L125" s="226" cm="1">
        <f t="array" ref="L125">IF(L81&gt;e_ecolifetime_yr,0,$E$124/e_ecolifetime_yr)</f>
        <v>577193.19727891148</v>
      </c>
      <c r="M125" s="226" cm="1">
        <f t="array" ref="M125">IF(M81&gt;e_ecolifetime_yr,0,$E$124/e_ecolifetime_yr)</f>
        <v>577193.19727891148</v>
      </c>
      <c r="N125" s="226" cm="1">
        <f t="array" ref="N125">IF(N81&gt;e_ecolifetime_yr,0,$E$124/e_ecolifetime_yr)</f>
        <v>577193.19727891148</v>
      </c>
      <c r="O125" s="226" cm="1">
        <f t="array" ref="O125">IF(O81&gt;e_ecolifetime_yr,0,$E$124/e_ecolifetime_yr)</f>
        <v>577193.19727891148</v>
      </c>
      <c r="P125" s="226" cm="1">
        <f t="array" ref="P125">IF(P81&gt;e_ecolifetime_yr,0,$E$124/e_ecolifetime_yr)</f>
        <v>577193.19727891148</v>
      </c>
      <c r="Q125" s="226" cm="1">
        <f t="array" ref="Q125">IF(Q81&gt;e_ecolifetime_yr,0,$E$124/e_ecolifetime_yr)</f>
        <v>577193.19727891148</v>
      </c>
      <c r="R125" s="226" cm="1">
        <f t="array" ref="R125">IF(R81&gt;e_ecolifetime_yr,0,$E$124/e_ecolifetime_yr)</f>
        <v>577193.19727891148</v>
      </c>
      <c r="S125" s="226" cm="1">
        <f t="array" ref="S125">IF(S81&gt;e_ecolifetime_yr,0,$E$124/e_ecolifetime_yr)</f>
        <v>577193.19727891148</v>
      </c>
      <c r="T125" s="226" cm="1">
        <f t="array" ref="T125">IF(T81&gt;e_ecolifetime_yr,0,$E$124/e_ecolifetime_yr)</f>
        <v>577193.19727891148</v>
      </c>
      <c r="U125" s="226" cm="1">
        <f t="array" ref="U125">IF(U81&gt;e_ecolifetime_yr,0,$E$124/e_ecolifetime_yr)</f>
        <v>0</v>
      </c>
      <c r="V125" s="226" cm="1">
        <f t="array" ref="V125">IF(V81&gt;e_ecolifetime_yr,0,$E$124/e_ecolifetime_yr)</f>
        <v>0</v>
      </c>
      <c r="W125" s="226" cm="1">
        <f t="array" ref="W125">IF(W81&gt;e_ecolifetime_yr,0,$E$124/e_ecolifetime_yr)</f>
        <v>0</v>
      </c>
      <c r="X125" s="226" cm="1">
        <f t="array" ref="X125">IF(X81&gt;e_ecolifetime_yr,0,$E$124/e_ecolifetime_yr)</f>
        <v>0</v>
      </c>
      <c r="Y125" s="226" cm="1">
        <f t="array" ref="Y125">IF(Y81&gt;e_ecolifetime_yr,0,$E$124/e_ecolifetime_yr)</f>
        <v>0</v>
      </c>
      <c r="Z125" s="226" cm="1">
        <f t="array" ref="Z125">IF(Z81&gt;e_ecolifetime_yr,0,$E$124/e_ecolifetime_yr)</f>
        <v>0</v>
      </c>
      <c r="AA125" s="226" cm="1">
        <f t="array" ref="AA125">IF(AA81&gt;e_ecolifetime_yr,0,$E$124/e_ecolifetime_yr)</f>
        <v>0</v>
      </c>
      <c r="AB125" s="226" cm="1">
        <f t="array" ref="AB125">IF(AB81&gt;e_ecolifetime_yr,0,$E$124/e_ecolifetime_yr)</f>
        <v>0</v>
      </c>
      <c r="AC125" s="226" cm="1">
        <f t="array" ref="AC125">IF(AC81&gt;e_ecolifetime_yr,0,$E$124/e_ecolifetime_yr)</f>
        <v>0</v>
      </c>
      <c r="AD125" s="226" cm="1">
        <f t="array" ref="AD125">IF(AD81&gt;e_ecolifetime_yr,0,$E$124/e_ecolifetime_yr)</f>
        <v>0</v>
      </c>
      <c r="AE125" s="226" cm="1">
        <f t="array" ref="AE125">IF(AE81&gt;e_ecolifetime_yr,0,$E$124/e_ecolifetime_yr)</f>
        <v>0</v>
      </c>
      <c r="AF125" s="226" cm="1">
        <f t="array" ref="AF125">IF(AF81&gt;e_ecolifetime_yr,0,$E$124/e_ecolifetime_yr)</f>
        <v>0</v>
      </c>
      <c r="AG125" s="226" cm="1">
        <f t="array" ref="AG125">IF(AG81&gt;e_ecolifetime_yr,0,$E$124/e_ecolifetime_yr)</f>
        <v>0</v>
      </c>
      <c r="AH125" s="226" cm="1">
        <f t="array" ref="AH125">IF(AH81&gt;e_ecolifetime_yr,0,$E$124/e_ecolifetime_yr)</f>
        <v>0</v>
      </c>
      <c r="AI125" s="228" cm="1">
        <f t="array" ref="AI125">IF(AI81&gt;e_ecolifetime_yr,0,$E$124/e_ecolifetime_yr)</f>
        <v>0</v>
      </c>
    </row>
    <row r="126" spans="2:35" x14ac:dyDescent="0.2">
      <c r="B126" s="234" t="s">
        <v>453</v>
      </c>
      <c r="C126" s="41"/>
      <c r="D126" s="41"/>
      <c r="E126" s="236"/>
      <c r="F126" s="236">
        <f t="shared" ref="F126:AI126" si="5">IF(F118-F123&gt;0,F118-F123,0)</f>
        <v>0</v>
      </c>
      <c r="G126" s="236">
        <f t="shared" si="5"/>
        <v>0</v>
      </c>
      <c r="H126" s="236">
        <f t="shared" si="5"/>
        <v>0</v>
      </c>
      <c r="I126" s="236">
        <f t="shared" si="5"/>
        <v>0</v>
      </c>
      <c r="J126" s="236">
        <f t="shared" si="5"/>
        <v>0</v>
      </c>
      <c r="K126" s="236">
        <f t="shared" si="5"/>
        <v>0</v>
      </c>
      <c r="L126" s="236">
        <f t="shared" si="5"/>
        <v>0</v>
      </c>
      <c r="M126" s="236">
        <f t="shared" si="5"/>
        <v>0</v>
      </c>
      <c r="N126" s="236">
        <f t="shared" si="5"/>
        <v>0</v>
      </c>
      <c r="O126" s="236">
        <f t="shared" si="5"/>
        <v>0</v>
      </c>
      <c r="P126" s="236">
        <f t="shared" si="5"/>
        <v>0</v>
      </c>
      <c r="Q126" s="236">
        <f t="shared" si="5"/>
        <v>0</v>
      </c>
      <c r="R126" s="236">
        <f t="shared" si="5"/>
        <v>0</v>
      </c>
      <c r="S126" s="236">
        <f t="shared" si="5"/>
        <v>0</v>
      </c>
      <c r="T126" s="236">
        <f t="shared" si="5"/>
        <v>0</v>
      </c>
      <c r="U126" s="236">
        <f t="shared" si="5"/>
        <v>0</v>
      </c>
      <c r="V126" s="236">
        <f t="shared" si="5"/>
        <v>0</v>
      </c>
      <c r="W126" s="236">
        <f t="shared" si="5"/>
        <v>0</v>
      </c>
      <c r="X126" s="236">
        <f t="shared" si="5"/>
        <v>0</v>
      </c>
      <c r="Y126" s="236">
        <f t="shared" si="5"/>
        <v>0</v>
      </c>
      <c r="Z126" s="236">
        <f t="shared" si="5"/>
        <v>0</v>
      </c>
      <c r="AA126" s="236">
        <f t="shared" si="5"/>
        <v>0</v>
      </c>
      <c r="AB126" s="236">
        <f t="shared" si="5"/>
        <v>0</v>
      </c>
      <c r="AC126" s="236">
        <f t="shared" si="5"/>
        <v>0</v>
      </c>
      <c r="AD126" s="236">
        <f t="shared" si="5"/>
        <v>0</v>
      </c>
      <c r="AE126" s="236">
        <f t="shared" si="5"/>
        <v>0</v>
      </c>
      <c r="AF126" s="236">
        <f t="shared" si="5"/>
        <v>0</v>
      </c>
      <c r="AG126" s="236">
        <f t="shared" si="5"/>
        <v>0</v>
      </c>
      <c r="AH126" s="236">
        <f t="shared" si="5"/>
        <v>0</v>
      </c>
      <c r="AI126" s="237">
        <f t="shared" si="5"/>
        <v>0</v>
      </c>
    </row>
    <row r="127" spans="2:35" x14ac:dyDescent="0.2">
      <c r="B127" s="39" t="s">
        <v>454</v>
      </c>
      <c r="C127" s="9"/>
      <c r="D127" s="9"/>
      <c r="E127" s="231"/>
      <c r="F127" s="231">
        <f t="shared" ref="F127:AI127" si="6">F118-F124-F125</f>
        <v>-5951674.5544217676</v>
      </c>
      <c r="G127" s="231">
        <f t="shared" si="6"/>
        <v>-5922814.8945578216</v>
      </c>
      <c r="H127" s="231">
        <f t="shared" si="6"/>
        <v>-5893955.2346938765</v>
      </c>
      <c r="I127" s="231">
        <f t="shared" si="6"/>
        <v>-5865095.5748299304</v>
      </c>
      <c r="J127" s="231">
        <f t="shared" si="6"/>
        <v>-5836235.9149659853</v>
      </c>
      <c r="K127" s="231">
        <f t="shared" si="6"/>
        <v>-5807376.2551020393</v>
      </c>
      <c r="L127" s="231">
        <f t="shared" si="6"/>
        <v>-5778516.5952380942</v>
      </c>
      <c r="M127" s="231">
        <f t="shared" si="6"/>
        <v>-8637156.9353741482</v>
      </c>
      <c r="N127" s="231">
        <f t="shared" si="6"/>
        <v>-5720797.2755102031</v>
      </c>
      <c r="O127" s="231">
        <f t="shared" si="6"/>
        <v>-7065534.5544217667</v>
      </c>
      <c r="P127" s="231">
        <f t="shared" si="6"/>
        <v>-5663077.955782312</v>
      </c>
      <c r="Q127" s="231">
        <f t="shared" si="6"/>
        <v>-5634218.2959183659</v>
      </c>
      <c r="R127" s="231">
        <f t="shared" si="6"/>
        <v>-5605358.6360544208</v>
      </c>
      <c r="S127" s="231">
        <f t="shared" si="6"/>
        <v>-5576498.9761904748</v>
      </c>
      <c r="T127" s="231">
        <f t="shared" si="6"/>
        <v>-5547639.3163265288</v>
      </c>
      <c r="U127" s="231">
        <f t="shared" si="6"/>
        <v>0</v>
      </c>
      <c r="V127" s="231">
        <f t="shared" si="6"/>
        <v>0</v>
      </c>
      <c r="W127" s="231">
        <f t="shared" si="6"/>
        <v>0</v>
      </c>
      <c r="X127" s="231">
        <f t="shared" si="6"/>
        <v>0</v>
      </c>
      <c r="Y127" s="231">
        <f t="shared" si="6"/>
        <v>0</v>
      </c>
      <c r="Z127" s="231">
        <f t="shared" si="6"/>
        <v>0</v>
      </c>
      <c r="AA127" s="231">
        <f t="shared" si="6"/>
        <v>0</v>
      </c>
      <c r="AB127" s="231">
        <f t="shared" si="6"/>
        <v>0</v>
      </c>
      <c r="AC127" s="231">
        <f t="shared" si="6"/>
        <v>0</v>
      </c>
      <c r="AD127" s="231">
        <f t="shared" si="6"/>
        <v>0</v>
      </c>
      <c r="AE127" s="231">
        <f t="shared" si="6"/>
        <v>0</v>
      </c>
      <c r="AF127" s="231">
        <f t="shared" si="6"/>
        <v>0</v>
      </c>
      <c r="AG127" s="231">
        <f t="shared" si="6"/>
        <v>0</v>
      </c>
      <c r="AH127" s="231">
        <f t="shared" si="6"/>
        <v>0</v>
      </c>
      <c r="AI127" s="232">
        <f t="shared" si="6"/>
        <v>0</v>
      </c>
    </row>
    <row r="128" spans="2:35" x14ac:dyDescent="0.2">
      <c r="B128" s="39" t="s">
        <v>455</v>
      </c>
      <c r="C128" s="9"/>
      <c r="E128" s="226"/>
      <c r="F128" s="226" cm="1">
        <f t="array" ref="F128">F126*e_taxrate_BE</f>
        <v>0</v>
      </c>
      <c r="G128" s="226" cm="1">
        <f t="array" ref="G128">G126*e_taxrate_BE</f>
        <v>0</v>
      </c>
      <c r="H128" s="226" cm="1">
        <f t="array" ref="H128">H126*e_taxrate_BE</f>
        <v>0</v>
      </c>
      <c r="I128" s="226" cm="1">
        <f t="array" ref="I128">I126*e_taxrate_BE</f>
        <v>0</v>
      </c>
      <c r="J128" s="226" cm="1">
        <f t="array" ref="J128">J126*e_taxrate_BE</f>
        <v>0</v>
      </c>
      <c r="K128" s="226" cm="1">
        <f t="array" ref="K128">K126*e_taxrate_BE</f>
        <v>0</v>
      </c>
      <c r="L128" s="226" cm="1">
        <f t="array" ref="L128">L126*e_taxrate_BE</f>
        <v>0</v>
      </c>
      <c r="M128" s="226" cm="1">
        <f t="array" ref="M128">M126*e_taxrate_BE</f>
        <v>0</v>
      </c>
      <c r="N128" s="226" cm="1">
        <f t="array" ref="N128">N126*e_taxrate_BE</f>
        <v>0</v>
      </c>
      <c r="O128" s="226" cm="1">
        <f t="array" ref="O128">O126*e_taxrate_BE</f>
        <v>0</v>
      </c>
      <c r="P128" s="226" cm="1">
        <f t="array" ref="P128">P126*e_taxrate_BE</f>
        <v>0</v>
      </c>
      <c r="Q128" s="226" cm="1">
        <f t="array" ref="Q128">Q126*e_taxrate_BE</f>
        <v>0</v>
      </c>
      <c r="R128" s="226" cm="1">
        <f t="array" ref="R128">R126*e_taxrate_BE</f>
        <v>0</v>
      </c>
      <c r="S128" s="226" cm="1">
        <f t="array" ref="S128">S126*e_taxrate_BE</f>
        <v>0</v>
      </c>
      <c r="T128" s="226" cm="1">
        <f t="array" ref="T128">T126*e_taxrate_BE</f>
        <v>0</v>
      </c>
      <c r="U128" s="226" cm="1">
        <f t="array" ref="U128">U126*e_taxrate_BE</f>
        <v>0</v>
      </c>
      <c r="V128" s="226" cm="1">
        <f t="array" ref="V128">V126*e_taxrate_BE</f>
        <v>0</v>
      </c>
      <c r="W128" s="226" cm="1">
        <f t="array" ref="W128">W126*e_taxrate_BE</f>
        <v>0</v>
      </c>
      <c r="X128" s="226" cm="1">
        <f t="array" ref="X128">X126*e_taxrate_BE</f>
        <v>0</v>
      </c>
      <c r="Y128" s="226" cm="1">
        <f t="array" ref="Y128">Y126*e_taxrate_BE</f>
        <v>0</v>
      </c>
      <c r="Z128" s="226" cm="1">
        <f t="array" ref="Z128">Z126*e_taxrate_BE</f>
        <v>0</v>
      </c>
      <c r="AA128" s="226" cm="1">
        <f t="array" ref="AA128">AA126*e_taxrate_BE</f>
        <v>0</v>
      </c>
      <c r="AB128" s="226" cm="1">
        <f t="array" ref="AB128">AB126*e_taxrate_BE</f>
        <v>0</v>
      </c>
      <c r="AC128" s="226" cm="1">
        <f t="array" ref="AC128">AC126*e_taxrate_BE</f>
        <v>0</v>
      </c>
      <c r="AD128" s="226" cm="1">
        <f t="array" ref="AD128">AD126*e_taxrate_BE</f>
        <v>0</v>
      </c>
      <c r="AE128" s="226" cm="1">
        <f t="array" ref="AE128">AE126*e_taxrate_BE</f>
        <v>0</v>
      </c>
      <c r="AF128" s="226" cm="1">
        <f t="array" ref="AF128">AF126*e_taxrate_BE</f>
        <v>0</v>
      </c>
      <c r="AG128" s="226" cm="1">
        <f t="array" ref="AG128">AG126*e_taxrate_BE</f>
        <v>0</v>
      </c>
      <c r="AH128" s="226" cm="1">
        <f t="array" ref="AH128">AH126*e_taxrate_BE</f>
        <v>0</v>
      </c>
      <c r="AI128" s="228" cm="1">
        <f t="array" ref="AI128">AI126*e_taxrate_BE</f>
        <v>0</v>
      </c>
    </row>
    <row r="129" spans="2:35" x14ac:dyDescent="0.2">
      <c r="B129" s="234" t="s">
        <v>456</v>
      </c>
      <c r="C129" s="41"/>
      <c r="D129" s="41"/>
      <c r="E129" s="236">
        <f>-E82+E124</f>
        <v>-2164474.4897959176</v>
      </c>
      <c r="F129" s="236">
        <f>IF(F127&gt;0,F127-F128,F127)</f>
        <v>-5951674.5544217676</v>
      </c>
      <c r="G129" s="236">
        <f t="shared" ref="G129:AI129" si="7">IF(G127&gt;0,G127-G128,G127)</f>
        <v>-5922814.8945578216</v>
      </c>
      <c r="H129" s="236">
        <f t="shared" si="7"/>
        <v>-5893955.2346938765</v>
      </c>
      <c r="I129" s="236">
        <f t="shared" si="7"/>
        <v>-5865095.5748299304</v>
      </c>
      <c r="J129" s="236">
        <f t="shared" si="7"/>
        <v>-5836235.9149659853</v>
      </c>
      <c r="K129" s="236">
        <f t="shared" si="7"/>
        <v>-5807376.2551020393</v>
      </c>
      <c r="L129" s="236">
        <f t="shared" si="7"/>
        <v>-5778516.5952380942</v>
      </c>
      <c r="M129" s="236">
        <f t="shared" si="7"/>
        <v>-8637156.9353741482</v>
      </c>
      <c r="N129" s="236">
        <f t="shared" si="7"/>
        <v>-5720797.2755102031</v>
      </c>
      <c r="O129" s="236">
        <f t="shared" si="7"/>
        <v>-7065534.5544217667</v>
      </c>
      <c r="P129" s="236">
        <f t="shared" si="7"/>
        <v>-5663077.955782312</v>
      </c>
      <c r="Q129" s="236">
        <f t="shared" si="7"/>
        <v>-5634218.2959183659</v>
      </c>
      <c r="R129" s="236">
        <f t="shared" si="7"/>
        <v>-5605358.6360544208</v>
      </c>
      <c r="S129" s="236">
        <f t="shared" si="7"/>
        <v>-5576498.9761904748</v>
      </c>
      <c r="T129" s="236">
        <f t="shared" si="7"/>
        <v>-5547639.3163265288</v>
      </c>
      <c r="U129" s="236">
        <f t="shared" si="7"/>
        <v>0</v>
      </c>
      <c r="V129" s="236">
        <f t="shared" si="7"/>
        <v>0</v>
      </c>
      <c r="W129" s="236">
        <f t="shared" si="7"/>
        <v>0</v>
      </c>
      <c r="X129" s="236">
        <f t="shared" si="7"/>
        <v>0</v>
      </c>
      <c r="Y129" s="236">
        <f t="shared" si="7"/>
        <v>0</v>
      </c>
      <c r="Z129" s="236">
        <f t="shared" si="7"/>
        <v>0</v>
      </c>
      <c r="AA129" s="236">
        <f t="shared" si="7"/>
        <v>0</v>
      </c>
      <c r="AB129" s="236">
        <f t="shared" si="7"/>
        <v>0</v>
      </c>
      <c r="AC129" s="236">
        <f t="shared" si="7"/>
        <v>0</v>
      </c>
      <c r="AD129" s="236">
        <f t="shared" si="7"/>
        <v>0</v>
      </c>
      <c r="AE129" s="236">
        <f t="shared" si="7"/>
        <v>0</v>
      </c>
      <c r="AF129" s="236">
        <f t="shared" si="7"/>
        <v>0</v>
      </c>
      <c r="AG129" s="236">
        <f t="shared" si="7"/>
        <v>0</v>
      </c>
      <c r="AH129" s="236">
        <f t="shared" si="7"/>
        <v>0</v>
      </c>
      <c r="AI129" s="237">
        <f t="shared" si="7"/>
        <v>0</v>
      </c>
    </row>
    <row r="130" spans="2:35" x14ac:dyDescent="0.2">
      <c r="B130" s="40" t="s">
        <v>457</v>
      </c>
      <c r="C130" s="11"/>
      <c r="D130" s="7"/>
      <c r="E130" s="85"/>
      <c r="F130" s="85" cm="1">
        <f t="array" ref="F130">F129/(1+e_WACC)^F81</f>
        <v>-5535936.5725973034</v>
      </c>
      <c r="G130" s="85" cm="1">
        <f t="array" ref="G130">G129/(1+e_WACC)^G81</f>
        <v>-5124270.1823958419</v>
      </c>
      <c r="H130" s="85" cm="1">
        <f t="array" ref="H130">H129/(1+e_WACC)^H81</f>
        <v>-4743103.7412281623</v>
      </c>
      <c r="I130" s="85" cm="1">
        <f t="array" ref="I130">I129/(1+e_WACC)^I81</f>
        <v>-4390184.9278718336</v>
      </c>
      <c r="J130" s="85" cm="1">
        <f t="array" ref="J130">J129/(1+e_WACC)^J81</f>
        <v>-4063427.2609950425</v>
      </c>
      <c r="K130" s="85" cm="1">
        <f t="array" ref="K130">K129/(1+e_WACC)^K81</f>
        <v>-3760897.9204111351</v>
      </c>
      <c r="L130" s="85" cm="1">
        <f t="array" ref="L130">L129/(1+e_WACC)^L81</f>
        <v>-3480806.4605700434</v>
      </c>
      <c r="M130" s="85" cm="1">
        <f t="array" ref="M130">M129/(1+e_WACC)^M81</f>
        <v>-4839341.3014522782</v>
      </c>
      <c r="N130" s="85" cm="1">
        <f t="array" ref="N130">N129/(1+e_WACC)^N81</f>
        <v>-2981425.2836619923</v>
      </c>
      <c r="O130" s="85" cm="1">
        <f t="array" ref="O130">O129/(1+e_WACC)^O81</f>
        <v>-3425029.5817920393</v>
      </c>
      <c r="P130" s="85" cm="1">
        <f t="array" ref="P130">P129/(1+e_WACC)^P81</f>
        <v>-2553428.9169972003</v>
      </c>
      <c r="Q130" s="85" cm="1">
        <f t="array" ref="Q130">Q129/(1+e_WACC)^Q81</f>
        <v>-2362962.5145363617</v>
      </c>
      <c r="R130" s="85" cm="1">
        <f t="array" ref="R130">R129/(1+e_WACC)^R81</f>
        <v>-2186646.0863404577</v>
      </c>
      <c r="S130" s="85" cm="1">
        <f t="array" ref="S130">S129/(1+e_WACC)^S81</f>
        <v>-2023432.1670272821</v>
      </c>
      <c r="T130" s="85" cm="1">
        <f t="array" ref="T130">T129/(1+e_WACC)^T81</f>
        <v>-1872350.5843539834</v>
      </c>
      <c r="U130" s="85" cm="1">
        <f t="array" ref="U130">U129/(1+e_WACC)^U81</f>
        <v>0</v>
      </c>
      <c r="V130" s="85" cm="1">
        <f t="array" ref="V130">V129/(1+e_WACC)^V81</f>
        <v>0</v>
      </c>
      <c r="W130" s="85" cm="1">
        <f t="array" ref="W130">W129/(1+e_WACC)^W81</f>
        <v>0</v>
      </c>
      <c r="X130" s="85" cm="1">
        <f t="array" ref="X130">X129/(1+e_WACC)^X81</f>
        <v>0</v>
      </c>
      <c r="Y130" s="85" cm="1">
        <f t="array" ref="Y130">Y129/(1+e_WACC)^Y81</f>
        <v>0</v>
      </c>
      <c r="Z130" s="85" cm="1">
        <f t="array" ref="Z130">Z129/(1+e_WACC)^Z81</f>
        <v>0</v>
      </c>
      <c r="AA130" s="85" cm="1">
        <f t="array" ref="AA130">AA129/(1+e_WACC)^AA81</f>
        <v>0</v>
      </c>
      <c r="AB130" s="85" cm="1">
        <f t="array" ref="AB130">AB129/(1+e_WACC)^AB81</f>
        <v>0</v>
      </c>
      <c r="AC130" s="85" cm="1">
        <f t="array" ref="AC130">AC129/(1+e_WACC)^AC81</f>
        <v>0</v>
      </c>
      <c r="AD130" s="85" cm="1">
        <f t="array" ref="AD130">AD129/(1+e_WACC)^AD81</f>
        <v>0</v>
      </c>
      <c r="AE130" s="85" cm="1">
        <f t="array" ref="AE130">AE129/(1+e_WACC)^AE81</f>
        <v>0</v>
      </c>
      <c r="AF130" s="85" cm="1">
        <f t="array" ref="AF130">AF129/(1+e_WACC)^AF81</f>
        <v>0</v>
      </c>
      <c r="AG130" s="85" cm="1">
        <f t="array" ref="AG130">AG129/(1+e_WACC)^AG81</f>
        <v>0</v>
      </c>
      <c r="AH130" s="85" cm="1">
        <f t="array" ref="AH130">AH129/(1+e_WACC)^AH81</f>
        <v>0</v>
      </c>
      <c r="AI130" s="233" cm="1">
        <f t="array" ref="AI130">AI129/(1+e_WACC)^AI81</f>
        <v>0</v>
      </c>
    </row>
    <row r="131" spans="2:35" x14ac:dyDescent="0.2">
      <c r="B131" s="39" t="s">
        <v>458</v>
      </c>
      <c r="C131" s="9"/>
      <c r="E131" s="226"/>
      <c r="F131" s="226">
        <f>E129+F129</f>
        <v>-8116149.0442176852</v>
      </c>
      <c r="G131" s="226">
        <f>F131+G129</f>
        <v>-14038963.938775506</v>
      </c>
      <c r="H131" s="226">
        <f>G131+H129</f>
        <v>-19932919.173469383</v>
      </c>
      <c r="I131" s="226">
        <f t="shared" ref="I131:AI131" si="8">H131+I129</f>
        <v>-25798014.748299316</v>
      </c>
      <c r="J131" s="226">
        <f t="shared" si="8"/>
        <v>-31634250.663265303</v>
      </c>
      <c r="K131" s="226">
        <f t="shared" si="8"/>
        <v>-37441626.918367341</v>
      </c>
      <c r="L131" s="226">
        <f t="shared" si="8"/>
        <v>-43220143.513605438</v>
      </c>
      <c r="M131" s="226">
        <f t="shared" si="8"/>
        <v>-51857300.448979586</v>
      </c>
      <c r="N131" s="226">
        <f t="shared" si="8"/>
        <v>-57578097.724489793</v>
      </c>
      <c r="O131" s="226">
        <f t="shared" si="8"/>
        <v>-64643632.278911561</v>
      </c>
      <c r="P131" s="226">
        <f t="shared" si="8"/>
        <v>-70306710.23469387</v>
      </c>
      <c r="Q131" s="226">
        <f t="shared" si="8"/>
        <v>-75940928.53061223</v>
      </c>
      <c r="R131" s="226">
        <f t="shared" si="8"/>
        <v>-81546287.166666657</v>
      </c>
      <c r="S131" s="226">
        <f t="shared" si="8"/>
        <v>-87122786.142857134</v>
      </c>
      <c r="T131" s="226">
        <f t="shared" si="8"/>
        <v>-92670425.459183663</v>
      </c>
      <c r="U131" s="226">
        <f t="shared" si="8"/>
        <v>-92670425.459183663</v>
      </c>
      <c r="V131" s="226">
        <f t="shared" si="8"/>
        <v>-92670425.459183663</v>
      </c>
      <c r="W131" s="226">
        <f t="shared" si="8"/>
        <v>-92670425.459183663</v>
      </c>
      <c r="X131" s="226">
        <f t="shared" si="8"/>
        <v>-92670425.459183663</v>
      </c>
      <c r="Y131" s="226">
        <f t="shared" si="8"/>
        <v>-92670425.459183663</v>
      </c>
      <c r="Z131" s="226">
        <f t="shared" si="8"/>
        <v>-92670425.459183663</v>
      </c>
      <c r="AA131" s="226">
        <f t="shared" si="8"/>
        <v>-92670425.459183663</v>
      </c>
      <c r="AB131" s="226">
        <f t="shared" si="8"/>
        <v>-92670425.459183663</v>
      </c>
      <c r="AC131" s="226">
        <f t="shared" si="8"/>
        <v>-92670425.459183663</v>
      </c>
      <c r="AD131" s="226">
        <f t="shared" si="8"/>
        <v>-92670425.459183663</v>
      </c>
      <c r="AE131" s="226">
        <f t="shared" si="8"/>
        <v>-92670425.459183663</v>
      </c>
      <c r="AF131" s="226">
        <f t="shared" si="8"/>
        <v>-92670425.459183663</v>
      </c>
      <c r="AG131" s="226">
        <f t="shared" si="8"/>
        <v>-92670425.459183663</v>
      </c>
      <c r="AH131" s="226">
        <f t="shared" si="8"/>
        <v>-92670425.459183663</v>
      </c>
      <c r="AI131" s="228">
        <f t="shared" si="8"/>
        <v>-92670425.459183663</v>
      </c>
    </row>
    <row r="132" spans="2:35" x14ac:dyDescent="0.2">
      <c r="B132" s="39" t="s">
        <v>459</v>
      </c>
      <c r="C132" s="9"/>
      <c r="E132" s="226"/>
      <c r="F132" s="226">
        <f>E129+F130</f>
        <v>-7700411.0623932211</v>
      </c>
      <c r="G132" s="226">
        <f>F132+G130</f>
        <v>-12824681.244789064</v>
      </c>
      <c r="H132" s="226">
        <f>G132+H130</f>
        <v>-17567784.986017227</v>
      </c>
      <c r="I132" s="226">
        <f t="shared" ref="I132:AI132" si="9">H132+I130</f>
        <v>-21957969.913889062</v>
      </c>
      <c r="J132" s="226">
        <f t="shared" si="9"/>
        <v>-26021397.174884103</v>
      </c>
      <c r="K132" s="226">
        <f t="shared" si="9"/>
        <v>-29782295.095295239</v>
      </c>
      <c r="L132" s="226">
        <f t="shared" si="9"/>
        <v>-33263101.555865284</v>
      </c>
      <c r="M132" s="226">
        <f t="shared" si="9"/>
        <v>-38102442.857317559</v>
      </c>
      <c r="N132" s="226">
        <f t="shared" si="9"/>
        <v>-41083868.140979551</v>
      </c>
      <c r="O132" s="226">
        <f t="shared" si="9"/>
        <v>-44508897.722771592</v>
      </c>
      <c r="P132" s="226">
        <f t="shared" si="9"/>
        <v>-47062326.639768794</v>
      </c>
      <c r="Q132" s="226">
        <f t="shared" si="9"/>
        <v>-49425289.154305153</v>
      </c>
      <c r="R132" s="226">
        <f t="shared" si="9"/>
        <v>-51611935.24064561</v>
      </c>
      <c r="S132" s="226">
        <f t="shared" si="9"/>
        <v>-53635367.40767289</v>
      </c>
      <c r="T132" s="226">
        <f t="shared" si="9"/>
        <v>-55507717.992026873</v>
      </c>
      <c r="U132" s="226">
        <f t="shared" si="9"/>
        <v>-55507717.992026873</v>
      </c>
      <c r="V132" s="226">
        <f t="shared" si="9"/>
        <v>-55507717.992026873</v>
      </c>
      <c r="W132" s="226">
        <f t="shared" si="9"/>
        <v>-55507717.992026873</v>
      </c>
      <c r="X132" s="226">
        <f t="shared" si="9"/>
        <v>-55507717.992026873</v>
      </c>
      <c r="Y132" s="226">
        <f t="shared" si="9"/>
        <v>-55507717.992026873</v>
      </c>
      <c r="Z132" s="226">
        <f t="shared" si="9"/>
        <v>-55507717.992026873</v>
      </c>
      <c r="AA132" s="226">
        <f t="shared" si="9"/>
        <v>-55507717.992026873</v>
      </c>
      <c r="AB132" s="226">
        <f t="shared" si="9"/>
        <v>-55507717.992026873</v>
      </c>
      <c r="AC132" s="226">
        <f t="shared" si="9"/>
        <v>-55507717.992026873</v>
      </c>
      <c r="AD132" s="226">
        <f t="shared" si="9"/>
        <v>-55507717.992026873</v>
      </c>
      <c r="AE132" s="226">
        <f t="shared" si="9"/>
        <v>-55507717.992026873</v>
      </c>
      <c r="AF132" s="226">
        <f t="shared" si="9"/>
        <v>-55507717.992026873</v>
      </c>
      <c r="AG132" s="226">
        <f t="shared" si="9"/>
        <v>-55507717.992026873</v>
      </c>
      <c r="AH132" s="226">
        <f t="shared" si="9"/>
        <v>-55507717.992026873</v>
      </c>
      <c r="AI132" s="228">
        <f t="shared" si="9"/>
        <v>-55507717.992026873</v>
      </c>
    </row>
    <row r="133" spans="2:35" x14ac:dyDescent="0.2">
      <c r="B133" s="39" t="s">
        <v>171</v>
      </c>
      <c r="C133" s="9"/>
      <c r="F133" s="1">
        <f>IF(F131&lt;0,1,-E129/F129)</f>
        <v>1</v>
      </c>
      <c r="G133" s="1">
        <f>IF(G131&lt;0,1,-F131/G129)</f>
        <v>1</v>
      </c>
      <c r="H133" s="1">
        <f>IF(H131&lt;0,1,-G131/H129)</f>
        <v>1</v>
      </c>
      <c r="I133" s="1">
        <f t="shared" ref="I133:AI133" si="10">IF(I131&lt;0,1,-H131/I129)</f>
        <v>1</v>
      </c>
      <c r="J133" s="1">
        <f t="shared" si="10"/>
        <v>1</v>
      </c>
      <c r="K133" s="1">
        <f t="shared" si="10"/>
        <v>1</v>
      </c>
      <c r="L133" s="1">
        <f t="shared" si="10"/>
        <v>1</v>
      </c>
      <c r="M133" s="1">
        <f t="shared" si="10"/>
        <v>1</v>
      </c>
      <c r="N133" s="1">
        <f t="shared" si="10"/>
        <v>1</v>
      </c>
      <c r="O133" s="1">
        <f t="shared" si="10"/>
        <v>1</v>
      </c>
      <c r="P133" s="1">
        <f t="shared" si="10"/>
        <v>1</v>
      </c>
      <c r="Q133" s="1">
        <f t="shared" si="10"/>
        <v>1</v>
      </c>
      <c r="R133" s="1">
        <f t="shared" si="10"/>
        <v>1</v>
      </c>
      <c r="S133" s="1">
        <f t="shared" si="10"/>
        <v>1</v>
      </c>
      <c r="T133" s="1">
        <f t="shared" si="10"/>
        <v>1</v>
      </c>
      <c r="U133" s="1">
        <f t="shared" si="10"/>
        <v>1</v>
      </c>
      <c r="V133" s="1">
        <f t="shared" si="10"/>
        <v>1</v>
      </c>
      <c r="W133" s="1">
        <f t="shared" si="10"/>
        <v>1</v>
      </c>
      <c r="X133" s="1">
        <f t="shared" si="10"/>
        <v>1</v>
      </c>
      <c r="Y133" s="1">
        <f t="shared" si="10"/>
        <v>1</v>
      </c>
      <c r="Z133" s="1">
        <f t="shared" si="10"/>
        <v>1</v>
      </c>
      <c r="AA133" s="1">
        <f t="shared" si="10"/>
        <v>1</v>
      </c>
      <c r="AB133" s="1">
        <f t="shared" si="10"/>
        <v>1</v>
      </c>
      <c r="AC133" s="1">
        <f t="shared" si="10"/>
        <v>1</v>
      </c>
      <c r="AD133" s="1">
        <f t="shared" si="10"/>
        <v>1</v>
      </c>
      <c r="AE133" s="1">
        <f t="shared" si="10"/>
        <v>1</v>
      </c>
      <c r="AF133" s="1">
        <f t="shared" si="10"/>
        <v>1</v>
      </c>
      <c r="AG133" s="1">
        <f t="shared" si="10"/>
        <v>1</v>
      </c>
      <c r="AH133" s="1">
        <f t="shared" si="10"/>
        <v>1</v>
      </c>
      <c r="AI133" s="42">
        <f t="shared" si="10"/>
        <v>1</v>
      </c>
    </row>
    <row r="134" spans="2:35" x14ac:dyDescent="0.2">
      <c r="B134" s="40" t="s">
        <v>173</v>
      </c>
      <c r="C134" s="11"/>
      <c r="D134" s="7"/>
      <c r="E134" s="7"/>
      <c r="F134" s="7">
        <f>IF(F132&lt;0,1,-E129/F130)</f>
        <v>1</v>
      </c>
      <c r="G134" s="7">
        <f>IF(G132&lt;0,1,-F132/G130)</f>
        <v>1</v>
      </c>
      <c r="H134" s="7">
        <f>IF(H132&lt;0,1,-G132/H130)</f>
        <v>1</v>
      </c>
      <c r="I134" s="7">
        <f t="shared" ref="I134:AI134" si="11">IF(I132&lt;0,1,-H132/I130)</f>
        <v>1</v>
      </c>
      <c r="J134" s="7">
        <f t="shared" si="11"/>
        <v>1</v>
      </c>
      <c r="K134" s="7">
        <f t="shared" si="11"/>
        <v>1</v>
      </c>
      <c r="L134" s="7">
        <f t="shared" si="11"/>
        <v>1</v>
      </c>
      <c r="M134" s="7">
        <f t="shared" si="11"/>
        <v>1</v>
      </c>
      <c r="N134" s="7">
        <f t="shared" si="11"/>
        <v>1</v>
      </c>
      <c r="O134" s="7">
        <f t="shared" si="11"/>
        <v>1</v>
      </c>
      <c r="P134" s="7">
        <f t="shared" si="11"/>
        <v>1</v>
      </c>
      <c r="Q134" s="7">
        <f t="shared" si="11"/>
        <v>1</v>
      </c>
      <c r="R134" s="7">
        <f t="shared" si="11"/>
        <v>1</v>
      </c>
      <c r="S134" s="7">
        <f t="shared" si="11"/>
        <v>1</v>
      </c>
      <c r="T134" s="7">
        <f t="shared" si="11"/>
        <v>1</v>
      </c>
      <c r="U134" s="7">
        <f t="shared" si="11"/>
        <v>1</v>
      </c>
      <c r="V134" s="7">
        <f t="shared" si="11"/>
        <v>1</v>
      </c>
      <c r="W134" s="7">
        <f t="shared" si="11"/>
        <v>1</v>
      </c>
      <c r="X134" s="7">
        <f t="shared" si="11"/>
        <v>1</v>
      </c>
      <c r="Y134" s="7">
        <f t="shared" si="11"/>
        <v>1</v>
      </c>
      <c r="Z134" s="7">
        <f t="shared" si="11"/>
        <v>1</v>
      </c>
      <c r="AA134" s="7">
        <f t="shared" si="11"/>
        <v>1</v>
      </c>
      <c r="AB134" s="7">
        <f t="shared" si="11"/>
        <v>1</v>
      </c>
      <c r="AC134" s="7">
        <f t="shared" si="11"/>
        <v>1</v>
      </c>
      <c r="AD134" s="7">
        <f t="shared" si="11"/>
        <v>1</v>
      </c>
      <c r="AE134" s="7">
        <f t="shared" si="11"/>
        <v>1</v>
      </c>
      <c r="AF134" s="7">
        <f t="shared" si="11"/>
        <v>1</v>
      </c>
      <c r="AG134" s="7">
        <f t="shared" si="11"/>
        <v>1</v>
      </c>
      <c r="AH134" s="7">
        <f t="shared" si="11"/>
        <v>1</v>
      </c>
      <c r="AI134" s="182">
        <f t="shared" si="11"/>
        <v>1</v>
      </c>
    </row>
    <row r="137" spans="2:35" x14ac:dyDescent="0.2">
      <c r="B137" s="10" t="s">
        <v>460</v>
      </c>
      <c r="C137" s="200" t="s">
        <v>136</v>
      </c>
      <c r="D137" s="207" t="s">
        <v>401</v>
      </c>
    </row>
    <row r="138" spans="2:35" x14ac:dyDescent="0.2">
      <c r="B138" s="41" t="s">
        <v>168</v>
      </c>
      <c r="C138" s="2" t="s">
        <v>164</v>
      </c>
      <c r="D138" s="203" cm="1">
        <f t="array" ref="D138">NPV(e_WACC,F129:AI129)+E129</f>
        <v>-55507717.992026873</v>
      </c>
    </row>
    <row r="139" spans="2:35" x14ac:dyDescent="0.2">
      <c r="B139" s="9" t="s">
        <v>169</v>
      </c>
      <c r="C139" s="2" t="s">
        <v>170</v>
      </c>
      <c r="D139" s="86" t="e">
        <f>IRR(E129:AI129)</f>
        <v>#NUM!</v>
      </c>
    </row>
    <row r="140" spans="2:35" x14ac:dyDescent="0.2">
      <c r="B140" s="9" t="s">
        <v>171</v>
      </c>
      <c r="C140" s="2" t="s">
        <v>172</v>
      </c>
      <c r="D140" s="87">
        <f>SUMIF(F133:AI133,"&gt;0")-SUMIF(F133:AI133,"&gt;1")</f>
        <v>30</v>
      </c>
      <c r="E140" s="163"/>
    </row>
    <row r="141" spans="2:35" x14ac:dyDescent="0.2">
      <c r="B141" s="11" t="s">
        <v>173</v>
      </c>
      <c r="C141" s="123" t="s">
        <v>172</v>
      </c>
      <c r="D141" s="87">
        <f>SUMIF(F134:AI134,"&gt;0")-SUMIF(F134:AI134,"&gt;1")</f>
        <v>30</v>
      </c>
    </row>
    <row r="142" spans="2:35" x14ac:dyDescent="0.2">
      <c r="B142" s="62" t="s">
        <v>174</v>
      </c>
      <c r="C142" s="2" t="s">
        <v>166</v>
      </c>
      <c r="D142" s="194">
        <f>F91</f>
        <v>9250278.8265306111</v>
      </c>
    </row>
    <row r="143" spans="2:35" ht="13.8" x14ac:dyDescent="0.3">
      <c r="B143" s="20" t="s">
        <v>175</v>
      </c>
      <c r="C143" s="2" t="s">
        <v>461</v>
      </c>
      <c r="D143" s="497">
        <f>SUM(D144:D145)</f>
        <v>10698.319835472179</v>
      </c>
    </row>
    <row r="144" spans="2:35" ht="13.8" x14ac:dyDescent="0.3">
      <c r="B144" s="88" t="s">
        <v>176</v>
      </c>
      <c r="C144" s="201" t="s">
        <v>462</v>
      </c>
      <c r="D144" s="204">
        <f>((((E83*(1-'Data - economic'!I91))/((1-(1+e_WACC)^(-e_ecolifetime_yr))/e_WACC))+((E85*(1-'Data - economic'!I98))/((1-(1+e_WACC)^(-e_ecolifetime_yr))/e_WACC))+((E83*'Data - economic'!I91)/((1-(1+e_WACC)^(-'Data - economic'!I94))/e_WACC))+((E85*'Data - economic'!I98)/((1-(1+e_WACC)^(-'Data - economic'!I101))/e_WACC)))+(E87/((1-(1+e_WACC)^(-'Data - economic'!I107))/e_WACC))+(E89/((1-(1+e_WACC)^(-'Data - economic'!I111))/e_WACC)))/((E34+E49)/1000)</f>
        <v>1438.592307382291</v>
      </c>
      <c r="E144" s="169">
        <f>D144/D143</f>
        <v>0.13446899415106126</v>
      </c>
      <c r="F144" s="175"/>
    </row>
    <row r="145" spans="2:8" ht="13.8" x14ac:dyDescent="0.3">
      <c r="B145" s="132" t="s">
        <v>177</v>
      </c>
      <c r="C145" s="202" t="s">
        <v>462</v>
      </c>
      <c r="D145" s="205">
        <f>F91/((E34+E49)/1000)</f>
        <v>9259.7275280898884</v>
      </c>
      <c r="E145" s="169">
        <f>D145/D143</f>
        <v>0.86553100584893883</v>
      </c>
    </row>
    <row r="148" spans="2:8" x14ac:dyDescent="0.2">
      <c r="B148" s="209" t="s">
        <v>463</v>
      </c>
      <c r="C148" s="210"/>
      <c r="D148" s="210"/>
      <c r="E148" s="210"/>
      <c r="F148" s="210"/>
      <c r="G148" s="210"/>
      <c r="H148" s="212"/>
    </row>
    <row r="149" spans="2:8" x14ac:dyDescent="0.2">
      <c r="B149" s="211" t="s">
        <v>20</v>
      </c>
      <c r="C149" s="211" t="s">
        <v>147</v>
      </c>
      <c r="D149" s="211"/>
      <c r="E149" s="479" t="s">
        <v>464</v>
      </c>
      <c r="F149" s="211" t="s">
        <v>136</v>
      </c>
      <c r="G149" s="211" t="s">
        <v>662</v>
      </c>
      <c r="H149" s="213"/>
    </row>
    <row r="150" spans="2:8" x14ac:dyDescent="0.2">
      <c r="B150" s="72" t="s">
        <v>647</v>
      </c>
      <c r="C150" s="45"/>
      <c r="D150" s="45"/>
      <c r="E150" s="45"/>
      <c r="F150" s="45"/>
      <c r="G150" s="45"/>
      <c r="H150" s="214"/>
    </row>
    <row r="151" spans="2:8" x14ac:dyDescent="0.2">
      <c r="B151" s="77" t="s">
        <v>416</v>
      </c>
      <c r="C151" s="1" t="s">
        <v>466</v>
      </c>
      <c r="D151" s="1" t="s">
        <v>149</v>
      </c>
      <c r="E151" s="122">
        <f>IF('Pathway definition and results'!E23=1,0,G31*'Data - environmental'!I45)</f>
        <v>2.9741966292134832</v>
      </c>
      <c r="F151" s="1" t="str">
        <f>"kg CO2eq/" &amp; IF(Technology!$C$32="","FU",Technology!$C$32)</f>
        <v>kg CO2eq/ton H2</v>
      </c>
      <c r="H151" s="215"/>
    </row>
    <row r="152" spans="2:8" x14ac:dyDescent="0.2">
      <c r="B152" s="77"/>
      <c r="C152" s="1" t="s">
        <v>211</v>
      </c>
      <c r="D152" s="1" t="s">
        <v>151</v>
      </c>
      <c r="E152" s="122">
        <f>IF('Pathway definition and results'!E23=1,0,IF('Pathway definition and results'!E28=0,G26*'Data - environmental'!I24,G26*'Data - environmental'!I26))</f>
        <v>13764.044943820225</v>
      </c>
      <c r="F152" s="1" t="str">
        <f>"kg CO2eq/" &amp; IF(Technology!$C$32="","FU",Technology!$C$32)</f>
        <v>kg CO2eq/ton H2</v>
      </c>
      <c r="H152" s="215"/>
    </row>
    <row r="153" spans="2:8" x14ac:dyDescent="0.2">
      <c r="B153" s="77"/>
      <c r="E153" s="122"/>
      <c r="H153" s="215"/>
    </row>
    <row r="154" spans="2:8" x14ac:dyDescent="0.2">
      <c r="B154" s="77" t="s">
        <v>425</v>
      </c>
      <c r="C154" s="1" t="s">
        <v>466</v>
      </c>
      <c r="D154" s="1" t="s">
        <v>149</v>
      </c>
      <c r="E154" s="122">
        <f>IF('Pathway definition and results'!E23=0,0,G46*'Data - environmental'!I45)</f>
        <v>0</v>
      </c>
      <c r="F154" s="1" t="str">
        <f>"kg CO2eq/" &amp; IF(Technology!$C$32="","FU",Technology!$C$32)</f>
        <v>kg CO2eq/ton H2</v>
      </c>
      <c r="H154" s="42"/>
    </row>
    <row r="155" spans="2:8" x14ac:dyDescent="0.2">
      <c r="B155" s="77"/>
      <c r="C155" s="1" t="s">
        <v>211</v>
      </c>
      <c r="D155" s="1" t="s">
        <v>151</v>
      </c>
      <c r="E155" s="122">
        <f>IF('Pathway definition and results'!E23=0,0,IF('Pathway definition and results'!E28=0,G41*'Data - environmental'!I24,G41*'Data - environmental'!I26))</f>
        <v>0</v>
      </c>
      <c r="F155" s="1" t="str">
        <f>"kg CO2eq/" &amp; IF(Technology!$C$32="","FU",Technology!$C$32)</f>
        <v>kg CO2eq/ton H2</v>
      </c>
      <c r="H155" s="42"/>
    </row>
    <row r="156" spans="2:8" x14ac:dyDescent="0.2">
      <c r="B156" s="77"/>
      <c r="E156" s="122"/>
      <c r="H156" s="215"/>
    </row>
    <row r="157" spans="2:8" ht="13.8" x14ac:dyDescent="0.3">
      <c r="B157" s="77" t="s">
        <v>467</v>
      </c>
      <c r="C157" s="1" t="s">
        <v>211</v>
      </c>
      <c r="D157" s="1" t="s">
        <v>151</v>
      </c>
      <c r="E157" s="122">
        <f>IF('Pathway definition and results'!E28=0,G59*'Data - environmental'!I24,G59*'Data - environmental'!I26)</f>
        <v>1000</v>
      </c>
      <c r="F157" s="1" t="str">
        <f>"kg CO2eq/" &amp; IF(Technology!$C$32="","FU",Technology!$C$32)</f>
        <v>kg CO2eq/ton H2</v>
      </c>
      <c r="H157" s="215"/>
    </row>
    <row r="158" spans="2:8" x14ac:dyDescent="0.2">
      <c r="B158" s="77"/>
      <c r="C158" s="1" t="s">
        <v>468</v>
      </c>
      <c r="E158" s="122"/>
      <c r="F158" s="1" t="str">
        <f>"kg CO2eq/" &amp; IF(Technology!$C$32="","FU",Technology!$C$32)</f>
        <v>kg CO2eq/ton H2</v>
      </c>
      <c r="H158" s="215"/>
    </row>
    <row r="159" spans="2:8" x14ac:dyDescent="0.2">
      <c r="B159" s="77"/>
      <c r="E159" s="122"/>
      <c r="H159" s="215"/>
    </row>
    <row r="160" spans="2:8" ht="13.8" x14ac:dyDescent="0.3">
      <c r="B160" s="77" t="s">
        <v>243</v>
      </c>
      <c r="C160" s="1" t="s">
        <v>468</v>
      </c>
      <c r="E160" s="122"/>
      <c r="F160" s="1" t="str">
        <f>"kg CO2eq/" &amp; IF(Technology!$C$32="","FU",Technology!$C$32)</f>
        <v>kg CO2eq/ton H2</v>
      </c>
      <c r="H160" s="215"/>
    </row>
    <row r="161" spans="2:8" x14ac:dyDescent="0.2">
      <c r="B161" s="77"/>
      <c r="E161" s="122"/>
      <c r="H161" s="215"/>
    </row>
    <row r="162" spans="2:8" x14ac:dyDescent="0.2">
      <c r="B162" s="72" t="s">
        <v>648</v>
      </c>
      <c r="C162" s="45"/>
      <c r="D162" s="45"/>
      <c r="E162" s="478"/>
      <c r="F162" s="45"/>
      <c r="G162" s="45"/>
      <c r="H162" s="217"/>
    </row>
    <row r="163" spans="2:8" x14ac:dyDescent="0.2">
      <c r="B163" s="77" t="s">
        <v>416</v>
      </c>
      <c r="C163" s="1" t="s">
        <v>470</v>
      </c>
      <c r="E163" s="122"/>
      <c r="F163" s="1" t="str">
        <f>"kg CO2eq/" &amp; IF(Technology!$C$32="","FU",Technology!$C$32)</f>
        <v>kg CO2eq/ton H2</v>
      </c>
      <c r="H163" s="215"/>
    </row>
    <row r="164" spans="2:8" x14ac:dyDescent="0.2">
      <c r="B164" s="77"/>
      <c r="C164" s="1" t="s">
        <v>466</v>
      </c>
      <c r="D164" s="1" t="s">
        <v>123</v>
      </c>
      <c r="E164" s="122">
        <f>IF(OR('Pathway definition and results'!E23=1,'Pathway definition and results'!E26=0),0,G36*'Data - environmental'!I67)</f>
        <v>4100.0337078651701</v>
      </c>
      <c r="F164" s="1" t="str">
        <f>"kg CO2eq/" &amp; IF(Technology!$C$32="","FU",Technology!$C$32)</f>
        <v>kg CO2eq/ton H2</v>
      </c>
      <c r="H164" s="215"/>
    </row>
    <row r="165" spans="2:8" x14ac:dyDescent="0.2">
      <c r="B165" s="77"/>
      <c r="C165" s="1" t="s">
        <v>211</v>
      </c>
      <c r="D165" s="1" t="s">
        <v>151</v>
      </c>
      <c r="E165" s="122"/>
      <c r="F165" s="1" t="str">
        <f>"kg CO2eq/" &amp; IF(Technology!$C$32="","FU",Technology!$C$32)</f>
        <v>kg CO2eq/ton H2</v>
      </c>
      <c r="H165" s="215"/>
    </row>
    <row r="166" spans="2:8" x14ac:dyDescent="0.2">
      <c r="B166" s="77"/>
      <c r="E166" s="122"/>
      <c r="F166" s="218"/>
      <c r="G166" s="218"/>
      <c r="H166" s="215"/>
    </row>
    <row r="167" spans="2:8" x14ac:dyDescent="0.2">
      <c r="B167" s="77" t="s">
        <v>425</v>
      </c>
      <c r="C167" s="1" t="s">
        <v>470</v>
      </c>
      <c r="E167" s="122"/>
      <c r="F167" s="1" t="str">
        <f>"kg CO2eq/" &amp; IF(Technology!$C$32="","FU",Technology!$C$32)</f>
        <v>kg CO2eq/ton H2</v>
      </c>
      <c r="H167" s="215"/>
    </row>
    <row r="168" spans="2:8" x14ac:dyDescent="0.2">
      <c r="B168" s="77"/>
      <c r="C168" s="1" t="s">
        <v>466</v>
      </c>
      <c r="D168" s="1" t="s">
        <v>123</v>
      </c>
      <c r="E168" s="122">
        <f>IF(OR('Pathway definition and results'!E23=0,'Pathway definition and results'!E26=0),0,G51*'Data - environmental'!I67)</f>
        <v>0</v>
      </c>
      <c r="F168" s="1" t="str">
        <f>"kg CO2eq/" &amp; IF(Technology!$C$32="","FU",Technology!$C$32)</f>
        <v>kg CO2eq/ton H2</v>
      </c>
      <c r="H168" s="42"/>
    </row>
    <row r="169" spans="2:8" x14ac:dyDescent="0.2">
      <c r="B169" s="186"/>
      <c r="C169" s="7" t="s">
        <v>211</v>
      </c>
      <c r="D169" s="7" t="s">
        <v>151</v>
      </c>
      <c r="E169" s="123"/>
      <c r="F169" s="7" t="str">
        <f>"kg CO2eq/" &amp; IF(Technology!$C$32="","FU",Technology!$C$32)</f>
        <v>kg CO2eq/ton H2</v>
      </c>
      <c r="G169" s="7"/>
      <c r="H169" s="182"/>
    </row>
    <row r="172" spans="2:8" ht="12" x14ac:dyDescent="0.25">
      <c r="B172" s="65" t="s">
        <v>146</v>
      </c>
      <c r="C172" s="189" t="s">
        <v>136</v>
      </c>
      <c r="D172" s="64"/>
    </row>
    <row r="173" spans="2:8" x14ac:dyDescent="0.2">
      <c r="B173" s="177" t="s">
        <v>649</v>
      </c>
      <c r="C173" s="184" t="str">
        <f>"ton CO2eq/" &amp; IF(Technology!C32="","FU",Technology!C32)</f>
        <v>ton CO2eq/ton H2</v>
      </c>
      <c r="D173" s="252">
        <f>SUM(E151:E161)/1000</f>
        <v>14.767019140449438</v>
      </c>
    </row>
    <row r="174" spans="2:8" x14ac:dyDescent="0.2">
      <c r="B174" s="188" t="s">
        <v>650</v>
      </c>
      <c r="C174" s="185" t="str">
        <f>"ton CO2eq avoided/" &amp; IF(Technology!C32="","FU",Technology!C32)</f>
        <v>ton CO2eq avoided/ton H2</v>
      </c>
      <c r="D174" s="253">
        <f>SUM(E163:E169)/1000</f>
        <v>4.1000337078651699</v>
      </c>
    </row>
    <row r="175" spans="2:8" x14ac:dyDescent="0.2">
      <c r="B175" s="192" t="s">
        <v>651</v>
      </c>
      <c r="C175" s="193" t="str">
        <f>"ton CO2eq/" &amp; IF(Technology!C32="","FU",Technology!C32)</f>
        <v>ton CO2eq/ton H2</v>
      </c>
      <c r="D175" s="254">
        <f>D173-D174</f>
        <v>10.666985432584269</v>
      </c>
    </row>
    <row r="176" spans="2:8" x14ac:dyDescent="0.2">
      <c r="B176" s="178"/>
      <c r="C176" s="123" t="s">
        <v>652</v>
      </c>
      <c r="D176" s="255">
        <f>D175*((E34+E49)/1000)</f>
        <v>10656.100753571427</v>
      </c>
    </row>
    <row r="177" spans="1:4" ht="13.8" x14ac:dyDescent="0.3">
      <c r="B177" s="76" t="s">
        <v>472</v>
      </c>
      <c r="C177" s="193" t="str">
        <f>"ton CO2eq/"&amp; IF(Technology!C32="","FU",Technology!C32)</f>
        <v>ton CO2eq/ton H2</v>
      </c>
      <c r="D177" s="256">
        <f>Technology!D15-D175</f>
        <v>0.53301456741573006</v>
      </c>
    </row>
    <row r="178" spans="1:4" x14ac:dyDescent="0.2">
      <c r="B178" s="183"/>
      <c r="C178" s="123" t="s">
        <v>652</v>
      </c>
      <c r="D178" s="257">
        <f>D177*((E34+E49)/1000)</f>
        <v>532.47067499999969</v>
      </c>
    </row>
    <row r="180" spans="1:4" x14ac:dyDescent="0.2">
      <c r="B180" s="117" t="s">
        <v>473</v>
      </c>
      <c r="C180" s="190" t="s">
        <v>136</v>
      </c>
      <c r="D180" s="118"/>
    </row>
    <row r="181" spans="1:4" x14ac:dyDescent="0.2">
      <c r="B181" s="116" t="s">
        <v>474</v>
      </c>
      <c r="C181" s="191" t="s">
        <v>653</v>
      </c>
      <c r="D181" s="265">
        <f>D143/D177</f>
        <v>20071.346055966078</v>
      </c>
    </row>
    <row r="182" spans="1:4" ht="13.8" x14ac:dyDescent="0.3">
      <c r="B182" s="116" t="s">
        <v>475</v>
      </c>
      <c r="C182" s="191" t="s">
        <v>654</v>
      </c>
      <c r="D182" s="264">
        <f>(E25+E40+E58)/D178</f>
        <v>110.79655864118146</v>
      </c>
    </row>
    <row r="184" spans="1:4" x14ac:dyDescent="0.2">
      <c r="B184" s="141"/>
    </row>
    <row r="185" spans="1:4" s="142" customFormat="1" x14ac:dyDescent="0.2">
      <c r="A185" s="1"/>
      <c r="B185" s="143" t="s">
        <v>476</v>
      </c>
      <c r="C185" s="144"/>
      <c r="D185" s="144"/>
    </row>
    <row r="188" spans="1:4" ht="13.8" x14ac:dyDescent="0.3">
      <c r="C188" s="121" t="s">
        <v>477</v>
      </c>
      <c r="D188" s="121" t="s">
        <v>478</v>
      </c>
    </row>
    <row r="189" spans="1:4" x14ac:dyDescent="0.2">
      <c r="B189" s="1" t="s">
        <v>479</v>
      </c>
      <c r="C189" s="163">
        <f>((((E83+E85)*(1-'Data - economic'!I91))/((1-(1+e_WACC)^(-e_ecolifetime_yr))/e_WACC))+(((E83+E85)*'Data - economic'!I91)/((1-(1+e_WACC)^(-'Data - economic'!I94))/e_WACC)))</f>
        <v>1101032.3613661032</v>
      </c>
      <c r="D189" s="163">
        <f>C189/(($E$34+$E$49)/1000)</f>
        <v>1102.1570113777132</v>
      </c>
    </row>
    <row r="190" spans="1:4" x14ac:dyDescent="0.2">
      <c r="B190" s="1" t="s">
        <v>480</v>
      </c>
      <c r="C190" s="163">
        <f>(E87/((1-(1+e_WACC)^(-'Data - economic'!I107))/e_WACC))</f>
        <v>200203.3352387232</v>
      </c>
      <c r="D190" s="163">
        <f t="shared" ref="D190:D198" si="12">C190/(($E$34+$E$49)/1000)</f>
        <v>200.40783302752683</v>
      </c>
    </row>
    <row r="191" spans="1:4" x14ac:dyDescent="0.2">
      <c r="B191" s="1" t="s">
        <v>481</v>
      </c>
      <c r="C191" s="163">
        <f>(E89/((1-(1+e_WACC)^(-'Data - economic'!I111))/e_WACC))</f>
        <v>135888.65944340068</v>
      </c>
      <c r="D191" s="163">
        <f t="shared" si="12"/>
        <v>136.02746297705076</v>
      </c>
    </row>
    <row r="192" spans="1:4" x14ac:dyDescent="0.2">
      <c r="B192" s="1" t="s">
        <v>482</v>
      </c>
      <c r="C192" s="163">
        <f>F99+F103</f>
        <v>7700000</v>
      </c>
      <c r="D192" s="163">
        <f t="shared" si="12"/>
        <v>7707.865168539327</v>
      </c>
    </row>
    <row r="193" spans="2:4" x14ac:dyDescent="0.2">
      <c r="B193" s="1" t="s">
        <v>483</v>
      </c>
      <c r="C193" s="163">
        <f>F104</f>
        <v>0</v>
      </c>
      <c r="D193" s="163">
        <f t="shared" si="12"/>
        <v>0</v>
      </c>
    </row>
    <row r="194" spans="2:4" x14ac:dyDescent="0.2">
      <c r="B194" s="1" t="s">
        <v>484</v>
      </c>
      <c r="C194" s="163">
        <f>F108</f>
        <v>559428.57142857136</v>
      </c>
      <c r="D194" s="163">
        <f t="shared" si="12"/>
        <v>560</v>
      </c>
    </row>
    <row r="195" spans="2:4" x14ac:dyDescent="0.2">
      <c r="B195" s="1" t="s">
        <v>442</v>
      </c>
      <c r="C195" s="163">
        <f>F92</f>
        <v>108223.7244897959</v>
      </c>
      <c r="D195" s="163">
        <f t="shared" si="12"/>
        <v>108.33426966292134</v>
      </c>
    </row>
    <row r="196" spans="2:4" x14ac:dyDescent="0.2">
      <c r="B196" s="1" t="s">
        <v>443</v>
      </c>
      <c r="C196" s="163">
        <f>F93</f>
        <v>541118.62244897953</v>
      </c>
      <c r="D196" s="163">
        <f t="shared" si="12"/>
        <v>541.67134831460669</v>
      </c>
    </row>
    <row r="197" spans="2:4" x14ac:dyDescent="0.2">
      <c r="B197" s="1" t="s">
        <v>444</v>
      </c>
      <c r="C197" s="163">
        <f>F94+F96+F97</f>
        <v>0</v>
      </c>
      <c r="D197" s="163">
        <f t="shared" si="12"/>
        <v>0</v>
      </c>
    </row>
    <row r="198" spans="2:4" x14ac:dyDescent="0.2">
      <c r="B198" s="1" t="s">
        <v>445</v>
      </c>
      <c r="C198" s="163">
        <f>F95</f>
        <v>324671.17346938769</v>
      </c>
      <c r="D198" s="163">
        <f t="shared" si="12"/>
        <v>325.002808988764</v>
      </c>
    </row>
    <row r="199" spans="2:4" x14ac:dyDescent="0.2">
      <c r="B199" s="1" t="s">
        <v>123</v>
      </c>
      <c r="C199" s="163">
        <f>-F114</f>
        <v>-312774.00000000006</v>
      </c>
      <c r="D199" s="163">
        <f>C199/(($E$34+$E$49)/1000)</f>
        <v>-313.09348314606751</v>
      </c>
    </row>
    <row r="200" spans="2:4" x14ac:dyDescent="0.2">
      <c r="B200" s="6" t="s">
        <v>464</v>
      </c>
      <c r="C200" s="6"/>
      <c r="D200" s="164">
        <f>SUM(D189:D199)</f>
        <v>10368.372419741841</v>
      </c>
    </row>
    <row r="213" spans="2:3" ht="13.8" x14ac:dyDescent="0.3">
      <c r="C213" s="121" t="s">
        <v>485</v>
      </c>
    </row>
    <row r="214" spans="2:3" x14ac:dyDescent="0.2">
      <c r="B214" s="1" t="s">
        <v>482</v>
      </c>
      <c r="C214" s="130">
        <f>(E155+E152)</f>
        <v>13764.044943820225</v>
      </c>
    </row>
    <row r="215" spans="2:3" x14ac:dyDescent="0.2">
      <c r="B215" s="1" t="s">
        <v>483</v>
      </c>
      <c r="C215" s="130">
        <f>(E151+E154)</f>
        <v>2.9741966292134832</v>
      </c>
    </row>
    <row r="216" spans="2:3" x14ac:dyDescent="0.2">
      <c r="B216" s="1" t="s">
        <v>484</v>
      </c>
      <c r="C216" s="130">
        <f>E157</f>
        <v>1000</v>
      </c>
    </row>
    <row r="217" spans="2:3" x14ac:dyDescent="0.2">
      <c r="B217" s="1" t="s">
        <v>486</v>
      </c>
      <c r="C217" s="130">
        <f>-(E168+E164)</f>
        <v>-4100.0337078651701</v>
      </c>
    </row>
    <row r="218" spans="2:3" x14ac:dyDescent="0.2">
      <c r="B218" s="6" t="s">
        <v>464</v>
      </c>
      <c r="C218" s="266">
        <f>SUM(C214:C217)</f>
        <v>10666.985432584268</v>
      </c>
    </row>
    <row r="233" spans="1:4" s="142" customFormat="1" x14ac:dyDescent="0.2">
      <c r="A233" s="1"/>
      <c r="B233" s="143" t="s">
        <v>487</v>
      </c>
      <c r="C233" s="144"/>
      <c r="D233" s="144"/>
    </row>
    <row r="234" spans="1:4" x14ac:dyDescent="0.2">
      <c r="B234" s="1" t="s">
        <v>725</v>
      </c>
    </row>
    <row r="235" spans="1:4" x14ac:dyDescent="0.2">
      <c r="B235" s="1" t="s">
        <v>726</v>
      </c>
    </row>
    <row r="236" spans="1:4" x14ac:dyDescent="0.2">
      <c r="B236" s="1" t="s">
        <v>708</v>
      </c>
    </row>
    <row r="237" spans="1:4" x14ac:dyDescent="0.2">
      <c r="B237" s="6" t="s">
        <v>707</v>
      </c>
    </row>
    <row r="238" spans="1:4" x14ac:dyDescent="0.2">
      <c r="B238" s="134" t="s">
        <v>706</v>
      </c>
    </row>
    <row r="239" spans="1:4" x14ac:dyDescent="0.2">
      <c r="B239" s="6" t="s">
        <v>705</v>
      </c>
    </row>
    <row r="240" spans="1:4" x14ac:dyDescent="0.2">
      <c r="B240" s="502" t="s">
        <v>727</v>
      </c>
      <c r="C240" s="201" t="s">
        <v>728</v>
      </c>
    </row>
    <row r="241" spans="2:3" x14ac:dyDescent="0.2">
      <c r="B241" s="134" t="s">
        <v>702</v>
      </c>
      <c r="C241" s="503">
        <v>0.55375458054236804</v>
      </c>
    </row>
    <row r="242" spans="2:3" x14ac:dyDescent="0.2">
      <c r="B242" s="134" t="s">
        <v>492</v>
      </c>
      <c r="C242" s="503">
        <v>0.408343163536454</v>
      </c>
    </row>
    <row r="243" spans="2:3" x14ac:dyDescent="0.2">
      <c r="B243" s="134" t="s">
        <v>220</v>
      </c>
      <c r="C243" s="503">
        <v>3.0841028313476401E-2</v>
      </c>
    </row>
    <row r="244" spans="2:3" x14ac:dyDescent="0.2">
      <c r="B244" s="134" t="s">
        <v>703</v>
      </c>
      <c r="C244" s="503">
        <v>5.5919323652059002E-3</v>
      </c>
    </row>
    <row r="245" spans="2:3" x14ac:dyDescent="0.2">
      <c r="B245" s="134" t="s">
        <v>704</v>
      </c>
      <c r="C245" s="503">
        <v>9.6176116642400402E-4</v>
      </c>
    </row>
    <row r="255" spans="2:3" x14ac:dyDescent="0.2">
      <c r="B255" s="141" t="s">
        <v>729</v>
      </c>
    </row>
    <row r="257" spans="1:11" s="142" customFormat="1" x14ac:dyDescent="0.2">
      <c r="A257" s="1"/>
      <c r="B257" s="143" t="s">
        <v>488</v>
      </c>
      <c r="C257" s="144"/>
      <c r="D257" s="144"/>
    </row>
    <row r="261" spans="1:11" x14ac:dyDescent="0.2">
      <c r="B261" s="1" t="s">
        <v>489</v>
      </c>
      <c r="C261" s="165">
        <v>140</v>
      </c>
    </row>
    <row r="262" spans="1:11" x14ac:dyDescent="0.2">
      <c r="B262" s="1" t="s">
        <v>490</v>
      </c>
      <c r="C262" s="165">
        <v>8000</v>
      </c>
    </row>
    <row r="265" spans="1:11" x14ac:dyDescent="0.2">
      <c r="C265" s="47" t="s">
        <v>491</v>
      </c>
      <c r="D265" s="9" t="s">
        <v>220</v>
      </c>
      <c r="E265" s="9"/>
      <c r="F265" s="9"/>
      <c r="G265" s="9"/>
      <c r="H265" s="9"/>
      <c r="I265" s="9"/>
      <c r="J265" s="9"/>
      <c r="K265" s="9"/>
    </row>
    <row r="266" spans="1:11" x14ac:dyDescent="0.2">
      <c r="C266" s="167">
        <f>D143</f>
        <v>10698.319835472179</v>
      </c>
      <c r="D266" s="168">
        <v>1000</v>
      </c>
      <c r="E266" s="168">
        <v>2000</v>
      </c>
      <c r="F266" s="168">
        <v>3000</v>
      </c>
      <c r="G266" s="168">
        <v>4000</v>
      </c>
      <c r="H266" s="168">
        <v>5000</v>
      </c>
      <c r="I266" s="168">
        <v>6000</v>
      </c>
      <c r="J266" s="168">
        <v>7000</v>
      </c>
      <c r="K266" s="168">
        <v>8000</v>
      </c>
    </row>
    <row r="267" spans="1:11" x14ac:dyDescent="0.2">
      <c r="B267" s="134" t="s">
        <v>492</v>
      </c>
      <c r="C267" s="47">
        <v>10</v>
      </c>
      <c r="D267" s="122">
        <f t="dataTable" ref="D267:K280" dt2D="1" dtr="1" r1="C262" r2="C261"/>
        <v>18588.11797014391</v>
      </c>
      <c r="E267" s="122">
        <v>9597.7668502404958</v>
      </c>
      <c r="F267" s="122">
        <v>6600.9831436060231</v>
      </c>
      <c r="G267" s="122">
        <v>5102.5912902887867</v>
      </c>
      <c r="H267" s="122">
        <v>4277.4972078152969</v>
      </c>
      <c r="I267" s="122">
        <v>3729.0473215311595</v>
      </c>
      <c r="J267" s="122">
        <v>3319.7034640486277</v>
      </c>
      <c r="K267" s="122">
        <v>3021.016464685662</v>
      </c>
    </row>
    <row r="268" spans="1:11" x14ac:dyDescent="0.2">
      <c r="C268" s="47">
        <v>20</v>
      </c>
      <c r="D268" s="122">
        <v>19178.67976789672</v>
      </c>
      <c r="E268" s="122">
        <v>10188.328647993305</v>
      </c>
      <c r="F268" s="122">
        <v>7191.5449413588321</v>
      </c>
      <c r="G268" s="122">
        <v>5693.1530880415958</v>
      </c>
      <c r="H268" s="122">
        <v>4868.0590055681059</v>
      </c>
      <c r="I268" s="122">
        <v>4319.6091192839685</v>
      </c>
      <c r="J268" s="122">
        <v>3910.2652618014363</v>
      </c>
      <c r="K268" s="122">
        <v>3611.578262438471</v>
      </c>
    </row>
    <row r="269" spans="1:11" x14ac:dyDescent="0.2">
      <c r="C269" s="47">
        <v>30</v>
      </c>
      <c r="D269" s="122">
        <v>19769.241565649529</v>
      </c>
      <c r="E269" s="122">
        <v>10778.890445746114</v>
      </c>
      <c r="F269" s="122">
        <v>7782.1067391116412</v>
      </c>
      <c r="G269" s="122">
        <v>6283.7148857944048</v>
      </c>
      <c r="H269" s="122">
        <v>5458.620803320915</v>
      </c>
      <c r="I269" s="122">
        <v>4910.1709170367776</v>
      </c>
      <c r="J269" s="122">
        <v>4500.8270595542454</v>
      </c>
      <c r="K269" s="122">
        <v>4202.1400601912792</v>
      </c>
    </row>
    <row r="270" spans="1:11" x14ac:dyDescent="0.2">
      <c r="C270" s="47">
        <v>40</v>
      </c>
      <c r="D270" s="122">
        <v>20359.803363402338</v>
      </c>
      <c r="E270" s="122">
        <v>11369.452243498923</v>
      </c>
      <c r="F270" s="122">
        <v>8372.6685368644503</v>
      </c>
      <c r="G270" s="122">
        <v>6874.2766835472139</v>
      </c>
      <c r="H270" s="122">
        <v>6049.1826010737241</v>
      </c>
      <c r="I270" s="122">
        <v>5500.7327147895858</v>
      </c>
      <c r="J270" s="122">
        <v>5091.3888573070544</v>
      </c>
      <c r="K270" s="122">
        <v>4792.7018579440883</v>
      </c>
    </row>
    <row r="271" spans="1:11" x14ac:dyDescent="0.2">
      <c r="C271" s="47">
        <v>50</v>
      </c>
      <c r="D271" s="122">
        <v>20950.365161155147</v>
      </c>
      <c r="E271" s="122">
        <v>11960.014041251732</v>
      </c>
      <c r="F271" s="122">
        <v>8963.2303346172594</v>
      </c>
      <c r="G271" s="122">
        <v>7464.8384813000221</v>
      </c>
      <c r="H271" s="122">
        <v>6639.7443988265331</v>
      </c>
      <c r="I271" s="122">
        <v>6091.2945125423958</v>
      </c>
      <c r="J271" s="122">
        <v>5681.9506550598635</v>
      </c>
      <c r="K271" s="122">
        <v>5383.2636556968973</v>
      </c>
    </row>
    <row r="272" spans="1:11" x14ac:dyDescent="0.2">
      <c r="C272" s="47">
        <v>60</v>
      </c>
      <c r="D272" s="122">
        <v>21540.926958907956</v>
      </c>
      <c r="E272" s="122">
        <v>12550.575839004541</v>
      </c>
      <c r="F272" s="122">
        <v>9553.7921323700684</v>
      </c>
      <c r="G272" s="122">
        <v>8055.4002790528311</v>
      </c>
      <c r="H272" s="122">
        <v>7230.3061965793422</v>
      </c>
      <c r="I272" s="122">
        <v>6681.8563102952048</v>
      </c>
      <c r="J272" s="122">
        <v>6272.5124528126726</v>
      </c>
      <c r="K272" s="122">
        <v>5973.8254534497064</v>
      </c>
    </row>
    <row r="273" spans="2:11" x14ac:dyDescent="0.2">
      <c r="C273" s="47">
        <v>70</v>
      </c>
      <c r="D273" s="122">
        <v>22131.488756660765</v>
      </c>
      <c r="E273" s="122">
        <v>13141.13763675735</v>
      </c>
      <c r="F273" s="122">
        <v>10144.353930122878</v>
      </c>
      <c r="G273" s="122">
        <v>8645.9620768056411</v>
      </c>
      <c r="H273" s="122">
        <v>7820.8679943321513</v>
      </c>
      <c r="I273" s="122">
        <v>7272.4181080480139</v>
      </c>
      <c r="J273" s="122">
        <v>6863.0742505654816</v>
      </c>
      <c r="K273" s="122">
        <v>6564.3872512025155</v>
      </c>
    </row>
    <row r="274" spans="2:11" x14ac:dyDescent="0.2">
      <c r="C274" s="47">
        <v>80</v>
      </c>
      <c r="D274" s="122">
        <v>22722.050554413574</v>
      </c>
      <c r="E274" s="122">
        <v>13731.699434510159</v>
      </c>
      <c r="F274" s="122">
        <v>10734.915727875687</v>
      </c>
      <c r="G274" s="122">
        <v>9236.5238745584502</v>
      </c>
      <c r="H274" s="122">
        <v>8411.4297920849604</v>
      </c>
      <c r="I274" s="122">
        <v>7862.979905800823</v>
      </c>
      <c r="J274" s="122">
        <v>7453.6360483182907</v>
      </c>
      <c r="K274" s="122">
        <v>7154.9490489553245</v>
      </c>
    </row>
    <row r="275" spans="2:11" x14ac:dyDescent="0.2">
      <c r="C275" s="47">
        <v>90</v>
      </c>
      <c r="D275" s="122">
        <v>23312.612352166383</v>
      </c>
      <c r="E275" s="122">
        <v>14322.261232262967</v>
      </c>
      <c r="F275" s="122">
        <v>11325.477525628496</v>
      </c>
      <c r="G275" s="122">
        <v>9827.0856723112593</v>
      </c>
      <c r="H275" s="122">
        <v>9001.9915898377694</v>
      </c>
      <c r="I275" s="122">
        <v>8453.541703553632</v>
      </c>
      <c r="J275" s="122">
        <v>8044.1978460710998</v>
      </c>
      <c r="K275" s="122">
        <v>7745.5108467081336</v>
      </c>
    </row>
    <row r="276" spans="2:11" x14ac:dyDescent="0.2">
      <c r="C276" s="47">
        <v>100</v>
      </c>
      <c r="D276" s="122">
        <v>23903.174149919192</v>
      </c>
      <c r="E276" s="122">
        <v>14912.823030015776</v>
      </c>
      <c r="F276" s="122">
        <v>11916.039323381307</v>
      </c>
      <c r="G276" s="122">
        <v>10417.647470064068</v>
      </c>
      <c r="H276" s="122">
        <v>9592.5533875905785</v>
      </c>
      <c r="I276" s="122">
        <v>9044.1035013064411</v>
      </c>
      <c r="J276" s="122">
        <v>8634.7596438239088</v>
      </c>
      <c r="K276" s="122">
        <v>8336.0726444609427</v>
      </c>
    </row>
    <row r="277" spans="2:11" x14ac:dyDescent="0.2">
      <c r="C277" s="47">
        <v>110</v>
      </c>
      <c r="D277" s="122">
        <v>24493.735947672001</v>
      </c>
      <c r="E277" s="122">
        <v>15503.384827768585</v>
      </c>
      <c r="F277" s="122">
        <v>12506.601121134116</v>
      </c>
      <c r="G277" s="122">
        <v>11008.209267816877</v>
      </c>
      <c r="H277" s="122">
        <v>10183.115185343388</v>
      </c>
      <c r="I277" s="122">
        <v>9634.6652990592502</v>
      </c>
      <c r="J277" s="122">
        <v>9225.3214415767179</v>
      </c>
      <c r="K277" s="122">
        <v>8926.6344422137518</v>
      </c>
    </row>
    <row r="278" spans="2:11" x14ac:dyDescent="0.2">
      <c r="C278" s="47">
        <v>120</v>
      </c>
      <c r="D278" s="122">
        <v>25084.29774542481</v>
      </c>
      <c r="E278" s="122">
        <v>16093.946625521394</v>
      </c>
      <c r="F278" s="122">
        <v>13097.162918886925</v>
      </c>
      <c r="G278" s="122">
        <v>11598.771065569686</v>
      </c>
      <c r="H278" s="122">
        <v>10773.676983096195</v>
      </c>
      <c r="I278" s="122">
        <v>10225.227096812057</v>
      </c>
      <c r="J278" s="122">
        <v>9815.883239329527</v>
      </c>
      <c r="K278" s="122">
        <v>9517.1962399665608</v>
      </c>
    </row>
    <row r="279" spans="2:11" x14ac:dyDescent="0.2">
      <c r="C279" s="47">
        <v>130</v>
      </c>
      <c r="D279" s="122">
        <v>25674.859543177619</v>
      </c>
      <c r="E279" s="122">
        <v>16684.508423274201</v>
      </c>
      <c r="F279" s="122">
        <v>13687.724716639734</v>
      </c>
      <c r="G279" s="122">
        <v>12189.332863322496</v>
      </c>
      <c r="H279" s="122">
        <v>11364.238780849004</v>
      </c>
      <c r="I279" s="122">
        <v>10815.788894564866</v>
      </c>
      <c r="J279" s="122">
        <v>10406.445037082336</v>
      </c>
      <c r="K279" s="122">
        <v>10107.75803771937</v>
      </c>
    </row>
    <row r="280" spans="2:11" x14ac:dyDescent="0.2">
      <c r="C280" s="47">
        <v>140</v>
      </c>
      <c r="D280" s="122">
        <v>26265.421340930428</v>
      </c>
      <c r="E280" s="122">
        <v>17275.07022102701</v>
      </c>
      <c r="F280" s="122">
        <v>14278.286514392541</v>
      </c>
      <c r="G280" s="122">
        <v>12779.894661075305</v>
      </c>
      <c r="H280" s="122">
        <v>11954.800578601813</v>
      </c>
      <c r="I280" s="122">
        <v>11406.350692317676</v>
      </c>
      <c r="J280" s="122">
        <v>10997.006834835145</v>
      </c>
      <c r="K280" s="122">
        <v>10698.319835472179</v>
      </c>
    </row>
    <row r="285" spans="2:11" ht="13.8" x14ac:dyDescent="0.3">
      <c r="B285" s="1" t="s">
        <v>665</v>
      </c>
      <c r="C285" s="147">
        <v>0.25</v>
      </c>
    </row>
    <row r="288" spans="2:11" ht="13.8" x14ac:dyDescent="0.3">
      <c r="C288" s="45"/>
      <c r="D288" s="74" t="s">
        <v>472</v>
      </c>
    </row>
    <row r="289" spans="2:4" x14ac:dyDescent="0.2">
      <c r="C289" s="45"/>
      <c r="D289" s="481">
        <f>D177</f>
        <v>0.53301456741573006</v>
      </c>
    </row>
    <row r="290" spans="2:4" x14ac:dyDescent="0.2">
      <c r="B290" s="134" t="s">
        <v>664</v>
      </c>
      <c r="C290" s="483">
        <v>0</v>
      </c>
      <c r="D290" s="482">
        <f t="dataTable" ref="D290:D305" dt2D="0" dtr="0" r1="C285"/>
        <v>15.297059511235956</v>
      </c>
    </row>
    <row r="291" spans="2:4" x14ac:dyDescent="0.2">
      <c r="C291" s="483">
        <v>0.02</v>
      </c>
      <c r="D291" s="482">
        <v>14.115935915730338</v>
      </c>
    </row>
    <row r="292" spans="2:4" x14ac:dyDescent="0.2">
      <c r="C292" s="483">
        <v>0.04</v>
      </c>
      <c r="D292" s="482">
        <v>12.934812320224719</v>
      </c>
    </row>
    <row r="293" spans="2:4" x14ac:dyDescent="0.2">
      <c r="C293" s="483">
        <v>0.06</v>
      </c>
      <c r="D293" s="482">
        <v>11.753688724719101</v>
      </c>
    </row>
    <row r="294" spans="2:4" x14ac:dyDescent="0.2">
      <c r="C294" s="483">
        <v>0.08</v>
      </c>
      <c r="D294" s="482">
        <v>10.572565129213483</v>
      </c>
    </row>
    <row r="295" spans="2:4" x14ac:dyDescent="0.2">
      <c r="C295" s="483">
        <v>0.1</v>
      </c>
      <c r="D295" s="482">
        <v>9.3914415337078658</v>
      </c>
    </row>
    <row r="296" spans="2:4" x14ac:dyDescent="0.2">
      <c r="C296" s="483">
        <v>0.12</v>
      </c>
      <c r="D296" s="482">
        <v>8.2103179382022482</v>
      </c>
    </row>
    <row r="297" spans="2:4" x14ac:dyDescent="0.2">
      <c r="C297" s="483">
        <v>0.14000000000000001</v>
      </c>
      <c r="D297" s="482">
        <v>7.0291943426966297</v>
      </c>
    </row>
    <row r="298" spans="2:4" x14ac:dyDescent="0.2">
      <c r="C298" s="483">
        <v>0.16</v>
      </c>
      <c r="D298" s="482">
        <v>5.8480707471910121</v>
      </c>
    </row>
    <row r="299" spans="2:4" x14ac:dyDescent="0.2">
      <c r="C299" s="483">
        <v>0.18</v>
      </c>
      <c r="D299" s="482">
        <v>4.6669471516853944</v>
      </c>
    </row>
    <row r="300" spans="2:4" x14ac:dyDescent="0.2">
      <c r="C300" s="483">
        <v>0.2</v>
      </c>
      <c r="D300" s="482">
        <v>3.485823556179775</v>
      </c>
    </row>
    <row r="301" spans="2:4" x14ac:dyDescent="0.2">
      <c r="C301" s="483">
        <v>0.22</v>
      </c>
      <c r="D301" s="482">
        <v>2.3046999606741601</v>
      </c>
    </row>
    <row r="302" spans="2:4" x14ac:dyDescent="0.2">
      <c r="C302" s="483">
        <v>0.24</v>
      </c>
      <c r="D302" s="482">
        <v>1.1235763651685389</v>
      </c>
    </row>
    <row r="303" spans="2:4" x14ac:dyDescent="0.2">
      <c r="C303" s="483">
        <v>0.26</v>
      </c>
      <c r="D303" s="482">
        <v>-5.7547230337078759E-2</v>
      </c>
    </row>
    <row r="304" spans="2:4" x14ac:dyDescent="0.2">
      <c r="C304" s="483">
        <v>0.28000000000000003</v>
      </c>
      <c r="D304" s="482">
        <v>-1.2386708258426999</v>
      </c>
    </row>
    <row r="305" spans="2:7" x14ac:dyDescent="0.2">
      <c r="C305" s="483">
        <v>0.3</v>
      </c>
      <c r="D305" s="482">
        <v>-2.419794421348314</v>
      </c>
    </row>
    <row r="310" spans="2:7" ht="12" thickBot="1" x14ac:dyDescent="0.25">
      <c r="B310" s="141" t="s">
        <v>673</v>
      </c>
    </row>
    <row r="311" spans="2:7" ht="15.6" x14ac:dyDescent="0.3">
      <c r="B311" s="485" t="s">
        <v>669</v>
      </c>
      <c r="C311" s="485"/>
      <c r="D311" s="490"/>
      <c r="E311" s="490"/>
      <c r="F311" s="490"/>
    </row>
    <row r="312" spans="2:7" ht="15.6" x14ac:dyDescent="0.3">
      <c r="B312" s="484"/>
      <c r="C312" s="484"/>
      <c r="D312" s="491" t="s">
        <v>666</v>
      </c>
      <c r="E312" s="491" t="s">
        <v>667</v>
      </c>
      <c r="F312" s="491" t="s">
        <v>668</v>
      </c>
    </row>
    <row r="313" spans="2:7" ht="14.4" x14ac:dyDescent="0.3">
      <c r="B313" s="488" t="s">
        <v>670</v>
      </c>
      <c r="C313" s="488"/>
      <c r="D313" s="486"/>
      <c r="E313" s="486"/>
      <c r="F313" s="486"/>
    </row>
    <row r="314" spans="2:7" ht="14.4" x14ac:dyDescent="0.3">
      <c r="B314" s="487"/>
      <c r="C314" s="487" t="s">
        <v>492</v>
      </c>
      <c r="D314" s="492">
        <v>10</v>
      </c>
      <c r="E314" s="492">
        <v>200</v>
      </c>
      <c r="F314" s="492">
        <v>60</v>
      </c>
    </row>
    <row r="315" spans="2:7" ht="14.4" x14ac:dyDescent="0.3">
      <c r="B315" s="487"/>
      <c r="C315" s="487" t="s">
        <v>664</v>
      </c>
      <c r="D315" s="493">
        <v>0.02</v>
      </c>
      <c r="E315" s="493">
        <v>0.24073</v>
      </c>
      <c r="F315" s="493">
        <v>0.1</v>
      </c>
    </row>
    <row r="316" spans="2:7" ht="14.4" x14ac:dyDescent="0.3">
      <c r="B316" s="487"/>
      <c r="C316" s="487" t="s">
        <v>220</v>
      </c>
      <c r="D316" s="492">
        <v>3000</v>
      </c>
      <c r="E316" s="492">
        <v>8000</v>
      </c>
      <c r="F316" s="492">
        <v>6000</v>
      </c>
    </row>
    <row r="317" spans="2:7" ht="14.4" x14ac:dyDescent="0.3">
      <c r="B317" s="488" t="s">
        <v>671</v>
      </c>
      <c r="C317" s="488"/>
      <c r="D317" s="486"/>
      <c r="E317" s="486"/>
      <c r="F317" s="486"/>
    </row>
    <row r="318" spans="2:7" ht="14.4" x14ac:dyDescent="0.3">
      <c r="B318" s="487"/>
      <c r="C318" s="487" t="s">
        <v>175</v>
      </c>
      <c r="D318" s="494">
        <v>6600.9831436060203</v>
      </c>
      <c r="E318" s="494">
        <v>14241.690621989001</v>
      </c>
      <c r="F318" s="494">
        <v>6681.8563102952003</v>
      </c>
    </row>
    <row r="319" spans="2:7" ht="15" thickBot="1" x14ac:dyDescent="0.35">
      <c r="B319" s="489"/>
      <c r="C319" s="489" t="s">
        <v>672</v>
      </c>
      <c r="D319" s="495">
        <v>11.756582634831499</v>
      </c>
      <c r="E319" s="495">
        <v>-1.2788879269662901</v>
      </c>
      <c r="F319" s="495">
        <v>7.0320882528089896</v>
      </c>
    </row>
    <row r="320" spans="2:7" ht="14.4" x14ac:dyDescent="0.3">
      <c r="B320"/>
      <c r="C320"/>
      <c r="D320"/>
      <c r="E320"/>
      <c r="F320"/>
      <c r="G320"/>
    </row>
    <row r="321" spans="2:7" ht="14.4" x14ac:dyDescent="0.3">
      <c r="B321"/>
      <c r="C321"/>
      <c r="D321"/>
      <c r="E321"/>
      <c r="F321"/>
      <c r="G321"/>
    </row>
    <row r="322" spans="2:7" ht="14.4" x14ac:dyDescent="0.3">
      <c r="B322"/>
      <c r="C322"/>
      <c r="D322"/>
      <c r="E322"/>
      <c r="F322"/>
      <c r="G322"/>
    </row>
  </sheetData>
  <scenarios current="0" show="0" sqref="D143 D177">
    <scenario name="Optimistic scenario" locked="1" count="3" user="Miet Van Dael" comment="Created by Miet Van Dael on 24/05/2023_x000a_Modified by Miet Van Dael on 24/05/2023">
      <inputCells r="C261" val="10" numFmtId="3"/>
      <inputCells r="C285" val="0.02"/>
      <inputCells r="C262" val="3000" numFmtId="3"/>
    </scenario>
    <scenario name="Pessimistic scenario" locked="1" count="3" user="Miet Van Dael" comment="Created by Miet Van Dael on 24/05/2023">
      <inputCells r="C261" val="200" numFmtId="3"/>
      <inputCells r="C285" val="0.24073"/>
      <inputCells r="C262" val="8000" numFmtId="3"/>
    </scenario>
    <scenario name="Neutral scenario" locked="1" count="3" user="Miet Van Dael" comment="Created by Miet Van Dael on 24/05/2023">
      <inputCells r="C261" val="60" numFmtId="3"/>
      <inputCells r="C285" val="0.1"/>
      <inputCells r="C262" val="6000" numFmtId="3"/>
    </scenario>
  </scenarios>
  <mergeCells count="4">
    <mergeCell ref="I23:J23"/>
    <mergeCell ref="I24:J24"/>
    <mergeCell ref="I22:J22"/>
    <mergeCell ref="E80:AI80"/>
  </mergeCells>
  <phoneticPr fontId="14" type="noConversion"/>
  <conditionalFormatting sqref="D267:K280">
    <cfRule type="colorScale" priority="2">
      <colorScale>
        <cfvo type="min"/>
        <cfvo type="percentile" val="50"/>
        <cfvo type="max"/>
        <color rgb="FF63BE7B"/>
        <color rgb="FFFFEB84"/>
        <color rgb="FFF8696B"/>
      </colorScale>
    </cfRule>
  </conditionalFormatting>
  <conditionalFormatting sqref="D290:D305">
    <cfRule type="cellIs" dxfId="0" priority="1" operator="greaterThan">
      <formula>0</formula>
    </cfRule>
  </conditionalFormatting>
  <dataValidations count="2">
    <dataValidation allowBlank="1" showInputMessage="1" showErrorMessage="1" prompt="The total manufacturing cost is the sum of the total OPEX for one year." sqref="B142" xr:uid="{00000000-0002-0000-0A00-000000000000}"/>
    <dataValidation allowBlank="1" showInputMessage="1" showErrorMessage="1" prompt="The levelized cost of product is calculated by dividing the sum of all the costs over the lifetime by the sum of the product produced over the lifetime. " sqref="B143" xr:uid="{00000000-0002-0000-0A00-000001000000}"/>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0BA8D-F172-4C7B-906F-CE26DF35973E}">
  <sheetPr codeName="Sheet13"/>
  <dimension ref="A1:AI207"/>
  <sheetViews>
    <sheetView workbookViewId="0">
      <pane xSplit="1" topLeftCell="B1" activePane="topRight" state="frozen"/>
      <selection activeCell="B4" sqref="B4"/>
      <selection pane="topRight"/>
    </sheetView>
  </sheetViews>
  <sheetFormatPr defaultColWidth="9.33203125" defaultRowHeight="11.4" x14ac:dyDescent="0.2"/>
  <cols>
    <col min="1" max="1" width="30.6640625" style="1" customWidth="1"/>
    <col min="2" max="2" width="40.6640625" style="1" customWidth="1"/>
    <col min="3" max="3" width="23" style="1" customWidth="1"/>
    <col min="4" max="4" width="40.6640625" style="1" customWidth="1"/>
    <col min="5" max="113" width="20.6640625" style="1" customWidth="1"/>
    <col min="114" max="16384" width="9.33203125" style="1"/>
  </cols>
  <sheetData>
    <row r="1" spans="1:10" ht="144" customHeight="1" x14ac:dyDescent="0.2"/>
    <row r="4" spans="1:10" ht="19.8" x14ac:dyDescent="0.3">
      <c r="B4" s="43" t="str">
        <f>'Pathway definition and results'!F13</f>
        <v>2. Pathway 2</v>
      </c>
    </row>
    <row r="6" spans="1:10" s="14" customFormat="1" x14ac:dyDescent="0.2">
      <c r="A6" s="1"/>
      <c r="B6" s="17" t="s">
        <v>408</v>
      </c>
    </row>
    <row r="8" spans="1:10" x14ac:dyDescent="0.2">
      <c r="B8" s="6"/>
    </row>
    <row r="9" spans="1:10" ht="45" customHeight="1" x14ac:dyDescent="0.2">
      <c r="B9" s="12"/>
      <c r="C9" s="12"/>
      <c r="D9" s="12"/>
      <c r="E9" s="12"/>
      <c r="F9" s="12"/>
      <c r="G9" s="12"/>
      <c r="H9" s="12"/>
      <c r="I9" s="12"/>
      <c r="J9" s="12"/>
    </row>
    <row r="15" spans="1:10" ht="14.4" x14ac:dyDescent="0.3">
      <c r="J15"/>
    </row>
    <row r="17" spans="2:10" ht="14.4" x14ac:dyDescent="0.3">
      <c r="F17"/>
    </row>
    <row r="30" spans="2:10" x14ac:dyDescent="0.2">
      <c r="B30" s="238" t="s">
        <v>412</v>
      </c>
      <c r="C30" s="239"/>
      <c r="D30" s="239"/>
      <c r="E30" s="239"/>
      <c r="F30" s="239"/>
      <c r="G30" s="239"/>
      <c r="H30" s="240"/>
      <c r="I30" s="240"/>
      <c r="J30" s="358"/>
    </row>
    <row r="31" spans="2:10" x14ac:dyDescent="0.2">
      <c r="B31" s="24" t="s">
        <v>20</v>
      </c>
      <c r="C31" s="24" t="s">
        <v>147</v>
      </c>
      <c r="D31" s="25"/>
      <c r="E31" s="26" t="s">
        <v>401</v>
      </c>
      <c r="F31" s="27" t="s">
        <v>413</v>
      </c>
      <c r="G31" s="26" t="s">
        <v>401</v>
      </c>
      <c r="H31" s="27" t="s">
        <v>414</v>
      </c>
      <c r="I31" s="359" t="s">
        <v>415</v>
      </c>
      <c r="J31" s="360"/>
    </row>
    <row r="32" spans="2:10" x14ac:dyDescent="0.2">
      <c r="B32" s="28"/>
      <c r="C32" s="28"/>
      <c r="D32" s="241"/>
      <c r="E32" s="242"/>
      <c r="F32" s="243"/>
      <c r="G32" s="14"/>
      <c r="H32" s="241"/>
      <c r="I32" s="14"/>
      <c r="J32" s="249"/>
    </row>
    <row r="33" spans="2:10" x14ac:dyDescent="0.2">
      <c r="B33" s="29" t="s">
        <v>47</v>
      </c>
      <c r="C33" s="30" t="s">
        <v>148</v>
      </c>
      <c r="D33" s="23" t="s">
        <v>470</v>
      </c>
      <c r="E33" s="31"/>
      <c r="F33" s="32" t="s">
        <v>154</v>
      </c>
      <c r="H33" s="32" t="str">
        <f>"kg/" &amp; IF(Technology!$C$32="","FU",Technology!$C$32)</f>
        <v>kg/ton H2</v>
      </c>
      <c r="J33" s="42"/>
    </row>
    <row r="34" spans="2:10" x14ac:dyDescent="0.2">
      <c r="B34" s="28"/>
      <c r="C34" s="30"/>
      <c r="D34" s="23" t="s">
        <v>466</v>
      </c>
      <c r="E34" s="33"/>
      <c r="F34" s="32" t="s">
        <v>154</v>
      </c>
      <c r="H34" s="32" t="str">
        <f>"kg/" &amp; IF(Technology!$C$32="","FU",Technology!$C$32)</f>
        <v>kg/ton H2</v>
      </c>
      <c r="J34" s="42"/>
    </row>
    <row r="35" spans="2:10" x14ac:dyDescent="0.2">
      <c r="B35" s="28"/>
      <c r="C35" s="30"/>
      <c r="D35" s="23"/>
      <c r="E35" s="33"/>
      <c r="F35" s="32"/>
      <c r="H35" s="32"/>
      <c r="J35" s="42"/>
    </row>
    <row r="36" spans="2:10" x14ac:dyDescent="0.2">
      <c r="B36" s="28"/>
      <c r="C36" s="30"/>
      <c r="D36" s="23" t="s">
        <v>615</v>
      </c>
      <c r="E36" s="33"/>
      <c r="F36" s="32" t="s">
        <v>138</v>
      </c>
      <c r="H36" s="32" t="str">
        <f>"kWh/" &amp; IF(Technology!$C$32="","FU",Technology!$C$32)</f>
        <v>kWh/ton H2</v>
      </c>
      <c r="J36" s="42"/>
    </row>
    <row r="37" spans="2:10" x14ac:dyDescent="0.2">
      <c r="B37" s="28"/>
      <c r="C37" s="30"/>
      <c r="D37" s="23" t="s">
        <v>616</v>
      </c>
      <c r="E37" s="33"/>
      <c r="F37" s="32" t="s">
        <v>138</v>
      </c>
      <c r="H37" s="32" t="str">
        <f>"kWh/" &amp; IF(Technology!$C$32="","FU",Technology!$C$32)</f>
        <v>kWh/ton H2</v>
      </c>
      <c r="J37" s="42"/>
    </row>
    <row r="38" spans="2:10" x14ac:dyDescent="0.2">
      <c r="B38" s="28"/>
      <c r="C38" s="30"/>
      <c r="D38" s="23" t="s">
        <v>617</v>
      </c>
      <c r="E38" s="33"/>
      <c r="F38" s="32" t="s">
        <v>138</v>
      </c>
      <c r="H38" s="32" t="str">
        <f>"kWh/" &amp; IF(Technology!$C$32="","FU",Technology!$C$32)</f>
        <v>kWh/ton H2</v>
      </c>
      <c r="J38" s="42"/>
    </row>
    <row r="39" spans="2:10" x14ac:dyDescent="0.2">
      <c r="B39" s="28"/>
      <c r="C39" s="30"/>
      <c r="D39" s="23" t="s">
        <v>618</v>
      </c>
      <c r="E39" s="33"/>
      <c r="F39" s="32" t="s">
        <v>138</v>
      </c>
      <c r="H39" s="32" t="str">
        <f>"kWh/" &amp; IF(Technology!$C$32="","FU",Technology!$C$32)</f>
        <v>kWh/ton H2</v>
      </c>
      <c r="J39" s="42"/>
    </row>
    <row r="40" spans="2:10" x14ac:dyDescent="0.2">
      <c r="B40" s="28"/>
      <c r="C40" s="30"/>
      <c r="D40" s="23"/>
      <c r="E40" s="33"/>
      <c r="F40" s="32"/>
      <c r="H40" s="32"/>
      <c r="J40" s="42"/>
    </row>
    <row r="41" spans="2:10" x14ac:dyDescent="0.2">
      <c r="B41" s="28"/>
      <c r="C41" s="30"/>
      <c r="D41" s="23" t="s">
        <v>619</v>
      </c>
      <c r="E41" s="33"/>
      <c r="F41" s="32" t="s">
        <v>620</v>
      </c>
      <c r="H41" s="32" t="str">
        <f>"m²/" &amp; IF(Technology!$C$32="","FU",Technology!$C$32)</f>
        <v>m²/ton H2</v>
      </c>
      <c r="J41" s="42"/>
    </row>
    <row r="42" spans="2:10" x14ac:dyDescent="0.2">
      <c r="B42" s="28"/>
      <c r="C42" s="30"/>
      <c r="D42" s="23" t="s">
        <v>621</v>
      </c>
      <c r="E42" s="33"/>
      <c r="F42" s="32" t="s">
        <v>67</v>
      </c>
      <c r="H42" s="32" t="s">
        <v>67</v>
      </c>
      <c r="J42" s="42"/>
    </row>
    <row r="43" spans="2:10" x14ac:dyDescent="0.2">
      <c r="B43" s="28"/>
      <c r="C43" s="30"/>
      <c r="D43" s="23"/>
      <c r="E43" s="33"/>
      <c r="F43" s="32"/>
      <c r="H43" s="32"/>
      <c r="J43" s="42"/>
    </row>
    <row r="44" spans="2:10" x14ac:dyDescent="0.2">
      <c r="B44" s="28"/>
      <c r="C44" s="30" t="s">
        <v>152</v>
      </c>
      <c r="D44" s="23" t="s">
        <v>622</v>
      </c>
      <c r="E44" s="33"/>
      <c r="F44" s="32" t="s">
        <v>154</v>
      </c>
      <c r="H44" s="32" t="str">
        <f>"kg/" &amp; IF(Technology!$C$32="","FU",Technology!$C$32)</f>
        <v>kg/ton H2</v>
      </c>
      <c r="J44" s="42"/>
    </row>
    <row r="45" spans="2:10" x14ac:dyDescent="0.2">
      <c r="B45" s="28"/>
      <c r="C45" s="30"/>
      <c r="D45" s="23" t="s">
        <v>466</v>
      </c>
      <c r="E45" s="33"/>
      <c r="F45" s="32" t="s">
        <v>154</v>
      </c>
      <c r="H45" s="32" t="str">
        <f>"kg/" &amp; IF(Technology!$C$32="","FU",Technology!$C$32)</f>
        <v>kg/ton H2</v>
      </c>
      <c r="J45" s="42"/>
    </row>
    <row r="46" spans="2:10" x14ac:dyDescent="0.2">
      <c r="B46" s="28"/>
      <c r="C46" s="30"/>
      <c r="D46" s="23" t="s">
        <v>242</v>
      </c>
      <c r="E46" s="33"/>
      <c r="F46" s="32" t="s">
        <v>154</v>
      </c>
      <c r="H46" s="32" t="str">
        <f>"kg/" &amp; IF(Technology!$C$32="","FU",Technology!$C$32)</f>
        <v>kg/ton H2</v>
      </c>
      <c r="J46" s="42"/>
    </row>
    <row r="47" spans="2:10" x14ac:dyDescent="0.2">
      <c r="B47" s="28"/>
      <c r="C47" s="30"/>
      <c r="D47" s="23" t="s">
        <v>231</v>
      </c>
      <c r="E47" s="33"/>
      <c r="F47" s="32" t="s">
        <v>154</v>
      </c>
      <c r="H47" s="32" t="str">
        <f>"kg/" &amp; IF(Technology!$C$32="","FU",Technology!$C$32)</f>
        <v>kg/ton H2</v>
      </c>
      <c r="J47" s="42"/>
    </row>
    <row r="48" spans="2:10" x14ac:dyDescent="0.2">
      <c r="B48" s="28"/>
      <c r="C48" s="34"/>
      <c r="D48" s="23"/>
      <c r="E48" s="33"/>
      <c r="F48" s="32"/>
      <c r="H48" s="32"/>
      <c r="J48" s="42"/>
    </row>
    <row r="49" spans="2:10" x14ac:dyDescent="0.2">
      <c r="B49" s="28"/>
      <c r="C49" s="28"/>
      <c r="D49" s="35"/>
      <c r="E49" s="36"/>
      <c r="F49" s="37"/>
      <c r="G49" s="14"/>
      <c r="H49" s="37"/>
      <c r="I49" s="14"/>
      <c r="J49" s="249"/>
    </row>
    <row r="50" spans="2:10" x14ac:dyDescent="0.2">
      <c r="B50" s="29" t="s">
        <v>47</v>
      </c>
      <c r="C50" s="30" t="s">
        <v>148</v>
      </c>
      <c r="D50" s="23" t="s">
        <v>470</v>
      </c>
      <c r="E50" s="31"/>
      <c r="F50" s="32" t="s">
        <v>154</v>
      </c>
      <c r="H50" s="32" t="str">
        <f>"kg/" &amp; IF(Technology!$C$32="","FU",Technology!$C$32)</f>
        <v>kg/ton H2</v>
      </c>
      <c r="J50" s="42"/>
    </row>
    <row r="51" spans="2:10" x14ac:dyDescent="0.2">
      <c r="B51" s="29"/>
      <c r="C51" s="30"/>
      <c r="D51" s="23" t="s">
        <v>466</v>
      </c>
      <c r="E51" s="33"/>
      <c r="F51" s="32" t="s">
        <v>154</v>
      </c>
      <c r="H51" s="32" t="str">
        <f>"kg/" &amp; IF(Technology!$C$32="","FU",Technology!$C$32)</f>
        <v>kg/ton H2</v>
      </c>
      <c r="J51" s="42"/>
    </row>
    <row r="52" spans="2:10" x14ac:dyDescent="0.2">
      <c r="B52" s="29"/>
      <c r="C52" s="30"/>
      <c r="D52" s="23"/>
      <c r="E52" s="33"/>
      <c r="F52" s="32"/>
      <c r="H52" s="32"/>
      <c r="J52" s="42"/>
    </row>
    <row r="53" spans="2:10" x14ac:dyDescent="0.2">
      <c r="B53" s="29"/>
      <c r="C53" s="30"/>
      <c r="D53" s="23" t="s">
        <v>615</v>
      </c>
      <c r="E53" s="33"/>
      <c r="F53" s="32" t="s">
        <v>138</v>
      </c>
      <c r="H53" s="32" t="str">
        <f>"kWh/" &amp; IF(Technology!$C$32="","FU",Technology!$C$32)</f>
        <v>kWh/ton H2</v>
      </c>
      <c r="J53" s="42"/>
    </row>
    <row r="54" spans="2:10" x14ac:dyDescent="0.2">
      <c r="B54" s="29"/>
      <c r="C54" s="30"/>
      <c r="D54" s="23" t="s">
        <v>616</v>
      </c>
      <c r="E54" s="33"/>
      <c r="F54" s="32" t="s">
        <v>138</v>
      </c>
      <c r="H54" s="32" t="str">
        <f>"kWh/" &amp; IF(Technology!$C$32="","FU",Technology!$C$32)</f>
        <v>kWh/ton H2</v>
      </c>
      <c r="J54" s="42"/>
    </row>
    <row r="55" spans="2:10" x14ac:dyDescent="0.2">
      <c r="B55" s="29"/>
      <c r="C55" s="30"/>
      <c r="D55" s="23" t="s">
        <v>617</v>
      </c>
      <c r="E55" s="33"/>
      <c r="F55" s="32" t="s">
        <v>138</v>
      </c>
      <c r="H55" s="32" t="str">
        <f>"kWh/" &amp; IF(Technology!$C$32="","FU",Technology!$C$32)</f>
        <v>kWh/ton H2</v>
      </c>
      <c r="J55" s="42"/>
    </row>
    <row r="56" spans="2:10" x14ac:dyDescent="0.2">
      <c r="B56" s="29"/>
      <c r="C56" s="30"/>
      <c r="D56" s="23" t="s">
        <v>618</v>
      </c>
      <c r="E56" s="33"/>
      <c r="F56" s="32" t="s">
        <v>138</v>
      </c>
      <c r="H56" s="32" t="str">
        <f>"kWh/" &amp; IF(Technology!$C$32="","FU",Technology!$C$32)</f>
        <v>kWh/ton H2</v>
      </c>
      <c r="J56" s="42"/>
    </row>
    <row r="57" spans="2:10" x14ac:dyDescent="0.2">
      <c r="B57" s="29"/>
      <c r="F57" s="32"/>
      <c r="H57" s="32"/>
      <c r="J57" s="42"/>
    </row>
    <row r="58" spans="2:10" x14ac:dyDescent="0.2">
      <c r="B58" s="29"/>
      <c r="C58" s="30"/>
      <c r="D58" s="23" t="s">
        <v>619</v>
      </c>
      <c r="E58" s="33"/>
      <c r="F58" s="32" t="s">
        <v>620</v>
      </c>
      <c r="H58" s="32" t="str">
        <f>"m²/" &amp; IF(Technology!$C$32="","FU",Technology!$C$32)</f>
        <v>m²/ton H2</v>
      </c>
      <c r="J58" s="42"/>
    </row>
    <row r="59" spans="2:10" x14ac:dyDescent="0.2">
      <c r="B59" s="29"/>
      <c r="C59" s="30"/>
      <c r="D59" s="23" t="s">
        <v>621</v>
      </c>
      <c r="E59" s="33"/>
      <c r="F59" s="32" t="s">
        <v>67</v>
      </c>
      <c r="H59" s="32" t="s">
        <v>67</v>
      </c>
      <c r="J59" s="42"/>
    </row>
    <row r="60" spans="2:10" x14ac:dyDescent="0.2">
      <c r="B60" s="29"/>
      <c r="C60" s="30"/>
      <c r="D60" s="23"/>
      <c r="E60" s="33"/>
      <c r="F60" s="32"/>
      <c r="H60" s="32"/>
      <c r="J60" s="42"/>
    </row>
    <row r="61" spans="2:10" x14ac:dyDescent="0.2">
      <c r="B61" s="28"/>
      <c r="C61" s="30" t="s">
        <v>152</v>
      </c>
      <c r="D61" s="23" t="s">
        <v>622</v>
      </c>
      <c r="E61" s="33"/>
      <c r="F61" s="32" t="s">
        <v>154</v>
      </c>
      <c r="H61" s="32" t="str">
        <f>"kg/" &amp; IF(Technology!$C$32="","FU",Technology!$C$32)</f>
        <v>kg/ton H2</v>
      </c>
      <c r="J61" s="42"/>
    </row>
    <row r="62" spans="2:10" x14ac:dyDescent="0.2">
      <c r="B62" s="28"/>
      <c r="C62" s="34"/>
      <c r="D62" s="23" t="s">
        <v>466</v>
      </c>
      <c r="E62" s="33"/>
      <c r="F62" s="32" t="s">
        <v>154</v>
      </c>
      <c r="H62" s="32" t="str">
        <f>"kg/" &amp; IF(Technology!$C$32="","FU",Technology!$C$32)</f>
        <v>kg/ton H2</v>
      </c>
      <c r="J62" s="42"/>
    </row>
    <row r="63" spans="2:10" x14ac:dyDescent="0.2">
      <c r="B63" s="28"/>
      <c r="C63" s="34"/>
      <c r="D63" s="23" t="s">
        <v>242</v>
      </c>
      <c r="E63" s="33"/>
      <c r="F63" s="32" t="s">
        <v>154</v>
      </c>
      <c r="H63" s="32" t="str">
        <f>"kg/" &amp; IF(Technology!$C$32="","FU",Technology!$C$32)</f>
        <v>kg/ton H2</v>
      </c>
      <c r="J63" s="42"/>
    </row>
    <row r="64" spans="2:10" x14ac:dyDescent="0.2">
      <c r="B64" s="28"/>
      <c r="C64" s="34"/>
      <c r="D64" s="23" t="s">
        <v>231</v>
      </c>
      <c r="E64" s="33"/>
      <c r="F64" s="32" t="s">
        <v>154</v>
      </c>
      <c r="H64" s="32" t="str">
        <f>"kg/" &amp; IF(Technology!$C$32="","FU",Technology!$C$32)</f>
        <v>kg/ton H2</v>
      </c>
      <c r="J64" s="42"/>
    </row>
    <row r="65" spans="2:35" x14ac:dyDescent="0.2">
      <c r="B65" s="28"/>
      <c r="C65" s="34"/>
      <c r="D65" s="23"/>
      <c r="E65" s="33"/>
      <c r="F65" s="32"/>
      <c r="H65" s="32"/>
      <c r="J65" s="42"/>
    </row>
    <row r="66" spans="2:35" x14ac:dyDescent="0.2">
      <c r="B66" s="241"/>
      <c r="C66" s="361"/>
      <c r="D66" s="23"/>
      <c r="E66" s="362"/>
      <c r="F66" s="32"/>
      <c r="G66" s="32"/>
      <c r="J66" s="42"/>
    </row>
    <row r="67" spans="2:35" x14ac:dyDescent="0.2">
      <c r="B67" s="24"/>
      <c r="C67" s="363"/>
      <c r="D67" s="246"/>
      <c r="E67" s="247"/>
      <c r="F67" s="248"/>
      <c r="G67" s="248"/>
      <c r="H67" s="7"/>
      <c r="I67" s="7"/>
      <c r="J67" s="182"/>
    </row>
    <row r="69" spans="2:35" x14ac:dyDescent="0.2">
      <c r="B69" s="120" t="s">
        <v>146</v>
      </c>
      <c r="C69" s="195" t="s">
        <v>136</v>
      </c>
      <c r="D69" s="199" t="s">
        <v>401</v>
      </c>
    </row>
    <row r="70" spans="2:35" x14ac:dyDescent="0.2">
      <c r="B70" s="63" t="s">
        <v>157</v>
      </c>
      <c r="C70" s="2" t="s">
        <v>170</v>
      </c>
      <c r="D70" s="364"/>
    </row>
    <row r="71" spans="2:35" x14ac:dyDescent="0.2">
      <c r="B71" s="18" t="s">
        <v>158</v>
      </c>
      <c r="C71" s="2" t="s">
        <v>170</v>
      </c>
      <c r="D71" s="365"/>
    </row>
    <row r="72" spans="2:35" x14ac:dyDescent="0.2">
      <c r="B72" s="18" t="s">
        <v>159</v>
      </c>
      <c r="C72" s="2" t="s">
        <v>170</v>
      </c>
      <c r="D72" s="365"/>
    </row>
    <row r="73" spans="2:35" x14ac:dyDescent="0.2">
      <c r="B73" s="18" t="s">
        <v>160</v>
      </c>
      <c r="C73" s="2" t="s">
        <v>170</v>
      </c>
      <c r="D73" s="365"/>
    </row>
    <row r="74" spans="2:35" x14ac:dyDescent="0.2">
      <c r="B74" s="18" t="s">
        <v>161</v>
      </c>
      <c r="C74" s="2" t="s">
        <v>170</v>
      </c>
      <c r="D74" s="365"/>
    </row>
    <row r="75" spans="2:35" x14ac:dyDescent="0.2">
      <c r="B75" s="119" t="s">
        <v>162</v>
      </c>
      <c r="C75" s="123" t="s">
        <v>170</v>
      </c>
      <c r="D75" s="366"/>
    </row>
    <row r="78" spans="2:35" x14ac:dyDescent="0.2">
      <c r="B78" s="39" t="s">
        <v>433</v>
      </c>
      <c r="C78" s="367"/>
      <c r="D78" s="367"/>
      <c r="E78" s="550" t="s">
        <v>434</v>
      </c>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1"/>
    </row>
    <row r="79" spans="2:35" x14ac:dyDescent="0.2">
      <c r="B79" s="40" t="s">
        <v>435</v>
      </c>
      <c r="C79" s="40" t="s">
        <v>20</v>
      </c>
      <c r="D79" s="40" t="s">
        <v>147</v>
      </c>
      <c r="E79" s="40">
        <v>0</v>
      </c>
      <c r="F79" s="40">
        <v>1</v>
      </c>
      <c r="G79" s="40">
        <v>2</v>
      </c>
      <c r="H79" s="40">
        <v>3</v>
      </c>
      <c r="I79" s="40">
        <v>4</v>
      </c>
      <c r="J79" s="40">
        <v>5</v>
      </c>
      <c r="K79" s="40">
        <v>6</v>
      </c>
      <c r="L79" s="40">
        <v>7</v>
      </c>
      <c r="M79" s="40">
        <v>8</v>
      </c>
      <c r="N79" s="40">
        <v>9</v>
      </c>
      <c r="O79" s="40">
        <v>10</v>
      </c>
      <c r="P79" s="40">
        <v>11</v>
      </c>
      <c r="Q79" s="40">
        <v>12</v>
      </c>
      <c r="R79" s="40">
        <v>13</v>
      </c>
      <c r="S79" s="40">
        <v>14</v>
      </c>
      <c r="T79" s="40">
        <v>15</v>
      </c>
      <c r="U79" s="40">
        <v>16</v>
      </c>
      <c r="V79" s="40">
        <v>17</v>
      </c>
      <c r="W79" s="40">
        <v>18</v>
      </c>
      <c r="X79" s="40">
        <v>19</v>
      </c>
      <c r="Y79" s="40">
        <v>20</v>
      </c>
      <c r="Z79" s="40">
        <v>21</v>
      </c>
      <c r="AA79" s="40">
        <v>22</v>
      </c>
      <c r="AB79" s="40">
        <v>23</v>
      </c>
      <c r="AC79" s="40">
        <v>24</v>
      </c>
      <c r="AD79" s="40">
        <v>25</v>
      </c>
      <c r="AE79" s="40">
        <v>26</v>
      </c>
      <c r="AF79" s="40">
        <v>27</v>
      </c>
      <c r="AG79" s="40">
        <v>28</v>
      </c>
      <c r="AH79" s="40">
        <v>29</v>
      </c>
      <c r="AI79" s="219">
        <v>30</v>
      </c>
    </row>
    <row r="80" spans="2:35" s="6" customFormat="1" x14ac:dyDescent="0.2">
      <c r="B80" s="8" t="s">
        <v>436</v>
      </c>
      <c r="C80" s="8"/>
      <c r="D80" s="8"/>
      <c r="E80" s="221">
        <f t="shared" ref="E80:AI80" si="0">SUM(E81:E85)</f>
        <v>0</v>
      </c>
      <c r="F80" s="221">
        <f t="shared" si="0"/>
        <v>0</v>
      </c>
      <c r="G80" s="221">
        <f t="shared" si="0"/>
        <v>0</v>
      </c>
      <c r="H80" s="221">
        <f t="shared" si="0"/>
        <v>0</v>
      </c>
      <c r="I80" s="221">
        <f t="shared" si="0"/>
        <v>0</v>
      </c>
      <c r="J80" s="221">
        <f t="shared" si="0"/>
        <v>0</v>
      </c>
      <c r="K80" s="221">
        <f t="shared" si="0"/>
        <v>0</v>
      </c>
      <c r="L80" s="221">
        <f t="shared" si="0"/>
        <v>0</v>
      </c>
      <c r="M80" s="221">
        <f t="shared" si="0"/>
        <v>0</v>
      </c>
      <c r="N80" s="221">
        <f t="shared" si="0"/>
        <v>0</v>
      </c>
      <c r="O80" s="221">
        <f t="shared" si="0"/>
        <v>0</v>
      </c>
      <c r="P80" s="221">
        <f t="shared" si="0"/>
        <v>0</v>
      </c>
      <c r="Q80" s="221">
        <f t="shared" si="0"/>
        <v>0</v>
      </c>
      <c r="R80" s="221">
        <f t="shared" si="0"/>
        <v>0</v>
      </c>
      <c r="S80" s="221">
        <f t="shared" si="0"/>
        <v>0</v>
      </c>
      <c r="T80" s="221">
        <f t="shared" si="0"/>
        <v>0</v>
      </c>
      <c r="U80" s="221">
        <f t="shared" si="0"/>
        <v>0</v>
      </c>
      <c r="V80" s="221">
        <f t="shared" si="0"/>
        <v>0</v>
      </c>
      <c r="W80" s="221">
        <f t="shared" si="0"/>
        <v>0</v>
      </c>
      <c r="X80" s="221">
        <f t="shared" si="0"/>
        <v>0</v>
      </c>
      <c r="Y80" s="221">
        <f t="shared" si="0"/>
        <v>0</v>
      </c>
      <c r="Z80" s="221">
        <f t="shared" si="0"/>
        <v>0</v>
      </c>
      <c r="AA80" s="221">
        <f t="shared" si="0"/>
        <v>0</v>
      </c>
      <c r="AB80" s="221">
        <f t="shared" si="0"/>
        <v>0</v>
      </c>
      <c r="AC80" s="221">
        <f t="shared" si="0"/>
        <v>0</v>
      </c>
      <c r="AD80" s="221">
        <f t="shared" si="0"/>
        <v>0</v>
      </c>
      <c r="AE80" s="221">
        <f t="shared" si="0"/>
        <v>0</v>
      </c>
      <c r="AF80" s="221">
        <f t="shared" si="0"/>
        <v>0</v>
      </c>
      <c r="AG80" s="221">
        <f t="shared" si="0"/>
        <v>0</v>
      </c>
      <c r="AH80" s="221">
        <f t="shared" si="0"/>
        <v>0</v>
      </c>
      <c r="AI80" s="222">
        <f t="shared" si="0"/>
        <v>0</v>
      </c>
    </row>
    <row r="81" spans="2:35" x14ac:dyDescent="0.2">
      <c r="B81" s="9"/>
      <c r="C81" s="21" t="s">
        <v>47</v>
      </c>
      <c r="D81" s="1" t="s">
        <v>436</v>
      </c>
      <c r="E81" s="226"/>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5"/>
    </row>
    <row r="82" spans="2:35" x14ac:dyDescent="0.2">
      <c r="B82" s="9"/>
      <c r="C82" s="21"/>
      <c r="D82" s="1" t="s">
        <v>438</v>
      </c>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8"/>
    </row>
    <row r="83" spans="2:35" x14ac:dyDescent="0.2">
      <c r="B83" s="9"/>
      <c r="C83" s="21" t="s">
        <v>47</v>
      </c>
      <c r="D83" s="1" t="s">
        <v>436</v>
      </c>
      <c r="E83" s="226"/>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5"/>
    </row>
    <row r="84" spans="2:35" x14ac:dyDescent="0.2">
      <c r="B84" s="9"/>
      <c r="C84" s="21"/>
      <c r="D84" s="1" t="s">
        <v>438</v>
      </c>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8"/>
    </row>
    <row r="85" spans="2:35" x14ac:dyDescent="0.2">
      <c r="B85" s="9"/>
      <c r="C85" s="21"/>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8"/>
    </row>
    <row r="86" spans="2:35" s="6" customFormat="1" x14ac:dyDescent="0.2">
      <c r="B86" s="8" t="s">
        <v>441</v>
      </c>
      <c r="C86" s="80"/>
      <c r="D86" s="8"/>
      <c r="E86" s="221"/>
      <c r="F86" s="221">
        <f t="shared" ref="F86:AI86" si="1">SUM(F87:F107)</f>
        <v>0</v>
      </c>
      <c r="G86" s="221">
        <f t="shared" si="1"/>
        <v>0</v>
      </c>
      <c r="H86" s="221">
        <f t="shared" si="1"/>
        <v>0</v>
      </c>
      <c r="I86" s="221">
        <f t="shared" si="1"/>
        <v>0</v>
      </c>
      <c r="J86" s="221">
        <f t="shared" si="1"/>
        <v>0</v>
      </c>
      <c r="K86" s="221">
        <f t="shared" si="1"/>
        <v>0</v>
      </c>
      <c r="L86" s="221">
        <f t="shared" si="1"/>
        <v>0</v>
      </c>
      <c r="M86" s="221">
        <f t="shared" si="1"/>
        <v>0</v>
      </c>
      <c r="N86" s="221">
        <f t="shared" si="1"/>
        <v>0</v>
      </c>
      <c r="O86" s="221">
        <f t="shared" si="1"/>
        <v>0</v>
      </c>
      <c r="P86" s="221">
        <f t="shared" si="1"/>
        <v>0</v>
      </c>
      <c r="Q86" s="221">
        <f t="shared" si="1"/>
        <v>0</v>
      </c>
      <c r="R86" s="221">
        <f t="shared" si="1"/>
        <v>0</v>
      </c>
      <c r="S86" s="221">
        <f t="shared" si="1"/>
        <v>0</v>
      </c>
      <c r="T86" s="221">
        <f t="shared" si="1"/>
        <v>0</v>
      </c>
      <c r="U86" s="221">
        <f t="shared" si="1"/>
        <v>0</v>
      </c>
      <c r="V86" s="221">
        <f t="shared" si="1"/>
        <v>0</v>
      </c>
      <c r="W86" s="221">
        <f t="shared" si="1"/>
        <v>0</v>
      </c>
      <c r="X86" s="221">
        <f t="shared" si="1"/>
        <v>0</v>
      </c>
      <c r="Y86" s="221">
        <f t="shared" si="1"/>
        <v>0</v>
      </c>
      <c r="Z86" s="221">
        <f t="shared" si="1"/>
        <v>0</v>
      </c>
      <c r="AA86" s="221">
        <f t="shared" si="1"/>
        <v>0</v>
      </c>
      <c r="AB86" s="221">
        <f t="shared" si="1"/>
        <v>0</v>
      </c>
      <c r="AC86" s="221">
        <f t="shared" si="1"/>
        <v>0</v>
      </c>
      <c r="AD86" s="221">
        <f t="shared" si="1"/>
        <v>0</v>
      </c>
      <c r="AE86" s="221">
        <f t="shared" si="1"/>
        <v>0</v>
      </c>
      <c r="AF86" s="221">
        <f t="shared" si="1"/>
        <v>0</v>
      </c>
      <c r="AG86" s="221">
        <f t="shared" si="1"/>
        <v>0</v>
      </c>
      <c r="AH86" s="221">
        <f t="shared" si="1"/>
        <v>0</v>
      </c>
      <c r="AI86" s="222">
        <f t="shared" si="1"/>
        <v>0</v>
      </c>
    </row>
    <row r="87" spans="2:35" x14ac:dyDescent="0.2">
      <c r="B87" s="9"/>
      <c r="C87" s="21" t="s">
        <v>330</v>
      </c>
      <c r="D87" s="1" t="s">
        <v>442</v>
      </c>
      <c r="E87" s="226"/>
      <c r="F87" s="226">
        <f>IF(F$79&gt;e_ecolifetime_yr,0,$E$80*'Data - economic'!$I$41)</f>
        <v>0</v>
      </c>
      <c r="G87" s="226">
        <f>IF(G$79&gt;e_ecolifetime_yr,0,$E$80*'Data - economic'!$I$41)</f>
        <v>0</v>
      </c>
      <c r="H87" s="226">
        <f>IF(H$79&gt;e_ecolifetime_yr,0,$E$80*'Data - economic'!$I$41)</f>
        <v>0</v>
      </c>
      <c r="I87" s="226">
        <f>IF(I$79&gt;e_ecolifetime_yr,0,$E$80*'Data - economic'!$I$41)</f>
        <v>0</v>
      </c>
      <c r="J87" s="226">
        <f>IF(J$79&gt;e_ecolifetime_yr,0,$E$80*'Data - economic'!$I$41)</f>
        <v>0</v>
      </c>
      <c r="K87" s="226">
        <f>IF(K$79&gt;e_ecolifetime_yr,0,$E$80*'Data - economic'!$I$41)</f>
        <v>0</v>
      </c>
      <c r="L87" s="226">
        <f>IF(L$79&gt;e_ecolifetime_yr,0,$E$80*'Data - economic'!$I$41)</f>
        <v>0</v>
      </c>
      <c r="M87" s="226">
        <f>IF(M$79&gt;e_ecolifetime_yr,0,$E$80*'Data - economic'!$I$41)</f>
        <v>0</v>
      </c>
      <c r="N87" s="226">
        <f>IF(N$79&gt;e_ecolifetime_yr,0,$E$80*'Data - economic'!$I$41)</f>
        <v>0</v>
      </c>
      <c r="O87" s="226">
        <f>IF(O$79&gt;e_ecolifetime_yr,0,$E$80*'Data - economic'!$I$41)</f>
        <v>0</v>
      </c>
      <c r="P87" s="226">
        <f>IF(P$79&gt;e_ecolifetime_yr,0,$E$80*'Data - economic'!$I$41)</f>
        <v>0</v>
      </c>
      <c r="Q87" s="226">
        <f>IF(Q$79&gt;e_ecolifetime_yr,0,$E$80*'Data - economic'!$I$41)</f>
        <v>0</v>
      </c>
      <c r="R87" s="226">
        <f>IF(R$79&gt;e_ecolifetime_yr,0,$E$80*'Data - economic'!$I$41)</f>
        <v>0</v>
      </c>
      <c r="S87" s="226">
        <f>IF(S$79&gt;e_ecolifetime_yr,0,$E$80*'Data - economic'!$I$41)</f>
        <v>0</v>
      </c>
      <c r="T87" s="226">
        <f>IF(T$79&gt;e_ecolifetime_yr,0,$E$80*'Data - economic'!$I$41)</f>
        <v>0</v>
      </c>
      <c r="U87" s="226">
        <f>IF(U$79&gt;e_ecolifetime_yr,0,$E$80*'Data - economic'!$I$41)</f>
        <v>0</v>
      </c>
      <c r="V87" s="226">
        <f>IF(V$79&gt;e_ecolifetime_yr,0,$E$80*'Data - economic'!$I$41)</f>
        <v>0</v>
      </c>
      <c r="W87" s="226">
        <f>IF(W$79&gt;e_ecolifetime_yr,0,$E$80*'Data - economic'!$I$41)</f>
        <v>0</v>
      </c>
      <c r="X87" s="226">
        <f>IF(X$79&gt;e_ecolifetime_yr,0,$E$80*'Data - economic'!$I$41)</f>
        <v>0</v>
      </c>
      <c r="Y87" s="226">
        <f>IF(Y$79&gt;e_ecolifetime_yr,0,$E$80*'Data - economic'!$I$41)</f>
        <v>0</v>
      </c>
      <c r="Z87" s="226">
        <f>IF(Z$79&gt;e_ecolifetime_yr,0,$E$80*'Data - economic'!$I$41)</f>
        <v>0</v>
      </c>
      <c r="AA87" s="226">
        <f>IF(AA$79&gt;e_ecolifetime_yr,0,$E$80*'Data - economic'!$I$41)</f>
        <v>0</v>
      </c>
      <c r="AB87" s="226">
        <f>IF(AB$79&gt;e_ecolifetime_yr,0,$E$80*'Data - economic'!$I$41)</f>
        <v>0</v>
      </c>
      <c r="AC87" s="226">
        <f>IF(AC$79&gt;e_ecolifetime_yr,0,$E$80*'Data - economic'!$I$41)</f>
        <v>0</v>
      </c>
      <c r="AD87" s="226">
        <f>IF(AD$79&gt;e_ecolifetime_yr,0,$E$80*'Data - economic'!$I$41)</f>
        <v>0</v>
      </c>
      <c r="AE87" s="226">
        <f>IF(AE$79&gt;e_ecolifetime_yr,0,$E$80*'Data - economic'!$I$41)</f>
        <v>0</v>
      </c>
      <c r="AF87" s="226">
        <f>IF(AF$79&gt;e_ecolifetime_yr,0,$E$80*'Data - economic'!$I$41)</f>
        <v>0</v>
      </c>
      <c r="AG87" s="226">
        <f>IF(AG$79&gt;e_ecolifetime_yr,0,$E$80*'Data - economic'!$I$41)</f>
        <v>0</v>
      </c>
      <c r="AH87" s="226">
        <f>IF(AH$79&gt;e_ecolifetime_yr,0,$E$80*'Data - economic'!$I$41)</f>
        <v>0</v>
      </c>
      <c r="AI87" s="383">
        <f>IF(AI$79&gt;e_ecolifetime_yr,0,$E$80*'Data - economic'!$I$41)</f>
        <v>0</v>
      </c>
    </row>
    <row r="88" spans="2:35" x14ac:dyDescent="0.2">
      <c r="B88" s="9"/>
      <c r="C88" s="21"/>
      <c r="D88" s="1" t="s">
        <v>443</v>
      </c>
      <c r="E88" s="226"/>
      <c r="F88" s="226">
        <f>IF(F$79&gt;e_ecolifetime_yr,0,$E$80*'Data - economic'!$I$42)</f>
        <v>0</v>
      </c>
      <c r="G88" s="226">
        <f>IF(G$79&gt;e_ecolifetime_yr,0,$E$80*'Data - economic'!$I$42)</f>
        <v>0</v>
      </c>
      <c r="H88" s="226">
        <f>IF(H$79&gt;e_ecolifetime_yr,0,$E$80*'Data - economic'!$I$42)</f>
        <v>0</v>
      </c>
      <c r="I88" s="226">
        <f>IF(I$79&gt;e_ecolifetime_yr,0,$E$80*'Data - economic'!$I$42)</f>
        <v>0</v>
      </c>
      <c r="J88" s="226">
        <f>IF(J$79&gt;e_ecolifetime_yr,0,$E$80*'Data - economic'!$I$42)</f>
        <v>0</v>
      </c>
      <c r="K88" s="226">
        <f>IF(K$79&gt;e_ecolifetime_yr,0,$E$80*'Data - economic'!$I$42)</f>
        <v>0</v>
      </c>
      <c r="L88" s="226">
        <f>IF(L$79&gt;e_ecolifetime_yr,0,$E$80*'Data - economic'!$I$42)</f>
        <v>0</v>
      </c>
      <c r="M88" s="226">
        <f>IF(M$79&gt;e_ecolifetime_yr,0,$E$80*'Data - economic'!$I$42)</f>
        <v>0</v>
      </c>
      <c r="N88" s="226">
        <f>IF(N$79&gt;e_ecolifetime_yr,0,$E$80*'Data - economic'!$I$42)</f>
        <v>0</v>
      </c>
      <c r="O88" s="226">
        <f>IF(O$79&gt;e_ecolifetime_yr,0,$E$80*'Data - economic'!$I$42)</f>
        <v>0</v>
      </c>
      <c r="P88" s="226">
        <f>IF(P$79&gt;e_ecolifetime_yr,0,$E$80*'Data - economic'!$I$42)</f>
        <v>0</v>
      </c>
      <c r="Q88" s="226">
        <f>IF(Q$79&gt;e_ecolifetime_yr,0,$E$80*'Data - economic'!$I$42)</f>
        <v>0</v>
      </c>
      <c r="R88" s="226">
        <f>IF(R$79&gt;e_ecolifetime_yr,0,$E$80*'Data - economic'!$I$42)</f>
        <v>0</v>
      </c>
      <c r="S88" s="226">
        <f>IF(S$79&gt;e_ecolifetime_yr,0,$E$80*'Data - economic'!$I$42)</f>
        <v>0</v>
      </c>
      <c r="T88" s="226">
        <f>IF(T$79&gt;e_ecolifetime_yr,0,$E$80*'Data - economic'!$I$42)</f>
        <v>0</v>
      </c>
      <c r="U88" s="226">
        <f>IF(U$79&gt;e_ecolifetime_yr,0,$E$80*'Data - economic'!$I$42)</f>
        <v>0</v>
      </c>
      <c r="V88" s="226">
        <f>IF(V$79&gt;e_ecolifetime_yr,0,$E$80*'Data - economic'!$I$42)</f>
        <v>0</v>
      </c>
      <c r="W88" s="226">
        <f>IF(W$79&gt;e_ecolifetime_yr,0,$E$80*'Data - economic'!$I$42)</f>
        <v>0</v>
      </c>
      <c r="X88" s="226">
        <f>IF(X$79&gt;e_ecolifetime_yr,0,$E$80*'Data - economic'!$I$42)</f>
        <v>0</v>
      </c>
      <c r="Y88" s="226">
        <f>IF(Y$79&gt;e_ecolifetime_yr,0,$E$80*'Data - economic'!$I$42)</f>
        <v>0</v>
      </c>
      <c r="Z88" s="226">
        <f>IF(Z$79&gt;e_ecolifetime_yr,0,$E$80*'Data - economic'!$I$42)</f>
        <v>0</v>
      </c>
      <c r="AA88" s="226">
        <f>IF(AA$79&gt;e_ecolifetime_yr,0,$E$80*'Data - economic'!$I$42)</f>
        <v>0</v>
      </c>
      <c r="AB88" s="226">
        <f>IF(AB$79&gt;e_ecolifetime_yr,0,$E$80*'Data - economic'!$I$42)</f>
        <v>0</v>
      </c>
      <c r="AC88" s="226">
        <f>IF(AC$79&gt;e_ecolifetime_yr,0,$E$80*'Data - economic'!$I$42)</f>
        <v>0</v>
      </c>
      <c r="AD88" s="226">
        <f>IF(AD$79&gt;e_ecolifetime_yr,0,$E$80*'Data - economic'!$I$42)</f>
        <v>0</v>
      </c>
      <c r="AE88" s="226">
        <f>IF(AE$79&gt;e_ecolifetime_yr,0,$E$80*'Data - economic'!$I$42)</f>
        <v>0</v>
      </c>
      <c r="AF88" s="226">
        <f>IF(AF$79&gt;e_ecolifetime_yr,0,$E$80*'Data - economic'!$I$42)</f>
        <v>0</v>
      </c>
      <c r="AG88" s="226">
        <f>IF(AG$79&gt;e_ecolifetime_yr,0,$E$80*'Data - economic'!$I$42)</f>
        <v>0</v>
      </c>
      <c r="AH88" s="226">
        <f>IF(AH$79&gt;e_ecolifetime_yr,0,$E$80*'Data - economic'!$I$42)</f>
        <v>0</v>
      </c>
      <c r="AI88" s="383">
        <f>IF(AI$79&gt;e_ecolifetime_yr,0,$E$80*'Data - economic'!$I$42)</f>
        <v>0</v>
      </c>
    </row>
    <row r="89" spans="2:35" x14ac:dyDescent="0.2">
      <c r="B89" s="9"/>
      <c r="C89" s="21"/>
      <c r="D89" s="1" t="s">
        <v>444</v>
      </c>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8"/>
    </row>
    <row r="90" spans="2:35" x14ac:dyDescent="0.2">
      <c r="B90" s="9"/>
      <c r="C90" s="21"/>
      <c r="D90" s="1" t="s">
        <v>445</v>
      </c>
      <c r="E90" s="226"/>
      <c r="F90" s="226">
        <f>IF(F$79&gt;e_ecolifetime_yr,0,('2. Pathway 2'!$F$89+'2. Pathway 2'!$F$88)*'Data - economic'!$I$43)</f>
        <v>0</v>
      </c>
      <c r="G90" s="226">
        <f>IF(G$79&gt;e_ecolifetime_yr,0,('2. Pathway 2'!$F$89+'2. Pathway 2'!$F$88)*'Data - economic'!$I$43)</f>
        <v>0</v>
      </c>
      <c r="H90" s="226">
        <f>IF(H$79&gt;e_ecolifetime_yr,0,('2. Pathway 2'!$F$89+'2. Pathway 2'!$F$88)*'Data - economic'!$I$43)</f>
        <v>0</v>
      </c>
      <c r="I90" s="226">
        <f>IF(I$79&gt;e_ecolifetime_yr,0,('2. Pathway 2'!$F$89+'2. Pathway 2'!$F$88)*'Data - economic'!$I$43)</f>
        <v>0</v>
      </c>
      <c r="J90" s="226">
        <f>IF(J$79&gt;e_ecolifetime_yr,0,('2. Pathway 2'!$F$89+'2. Pathway 2'!$F$88)*'Data - economic'!$I$43)</f>
        <v>0</v>
      </c>
      <c r="K90" s="226">
        <f>IF(K$79&gt;e_ecolifetime_yr,0,('2. Pathway 2'!$F$89+'2. Pathway 2'!$F$88)*'Data - economic'!$I$43)</f>
        <v>0</v>
      </c>
      <c r="L90" s="226">
        <f>IF(L$79&gt;e_ecolifetime_yr,0,('2. Pathway 2'!$F$89+'2. Pathway 2'!$F$88)*'Data - economic'!$I$43)</f>
        <v>0</v>
      </c>
      <c r="M90" s="226">
        <f>IF(M$79&gt;e_ecolifetime_yr,0,('2. Pathway 2'!$F$89+'2. Pathway 2'!$F$88)*'Data - economic'!$I$43)</f>
        <v>0</v>
      </c>
      <c r="N90" s="226">
        <f>IF(N$79&gt;e_ecolifetime_yr,0,('2. Pathway 2'!$F$89+'2. Pathway 2'!$F$88)*'Data - economic'!$I$43)</f>
        <v>0</v>
      </c>
      <c r="O90" s="226">
        <f>IF(O$79&gt;e_ecolifetime_yr,0,('2. Pathway 2'!$F$89+'2. Pathway 2'!$F$88)*'Data - economic'!$I$43)</f>
        <v>0</v>
      </c>
      <c r="P90" s="226">
        <f>IF(P$79&gt;e_ecolifetime_yr,0,('2. Pathway 2'!$F$89+'2. Pathway 2'!$F$88)*'Data - economic'!$I$43)</f>
        <v>0</v>
      </c>
      <c r="Q90" s="226">
        <f>IF(Q$79&gt;e_ecolifetime_yr,0,('2. Pathway 2'!$F$89+'2. Pathway 2'!$F$88)*'Data - economic'!$I$43)</f>
        <v>0</v>
      </c>
      <c r="R90" s="226">
        <f>IF(R$79&gt;e_ecolifetime_yr,0,('2. Pathway 2'!$F$89+'2. Pathway 2'!$F$88)*'Data - economic'!$I$43)</f>
        <v>0</v>
      </c>
      <c r="S90" s="226">
        <f>IF(S$79&gt;e_ecolifetime_yr,0,('2. Pathway 2'!$F$89+'2. Pathway 2'!$F$88)*'Data - economic'!$I$43)</f>
        <v>0</v>
      </c>
      <c r="T90" s="226">
        <f>IF(T$79&gt;e_ecolifetime_yr,0,('2. Pathway 2'!$F$89+'2. Pathway 2'!$F$88)*'Data - economic'!$I$43)</f>
        <v>0</v>
      </c>
      <c r="U90" s="226">
        <f>IF(U$79&gt;e_ecolifetime_yr,0,('2. Pathway 2'!$F$89+'2. Pathway 2'!$F$88)*'Data - economic'!$I$43)</f>
        <v>0</v>
      </c>
      <c r="V90" s="226">
        <f>IF(V$79&gt;e_ecolifetime_yr,0,('2. Pathway 2'!$F$89+'2. Pathway 2'!$F$88)*'Data - economic'!$I$43)</f>
        <v>0</v>
      </c>
      <c r="W90" s="226">
        <f>IF(W$79&gt;e_ecolifetime_yr,0,('2. Pathway 2'!$F$89+'2. Pathway 2'!$F$88)*'Data - economic'!$I$43)</f>
        <v>0</v>
      </c>
      <c r="X90" s="226">
        <f>IF(X$79&gt;e_ecolifetime_yr,0,('2. Pathway 2'!$F$89+'2. Pathway 2'!$F$88)*'Data - economic'!$I$43)</f>
        <v>0</v>
      </c>
      <c r="Y90" s="226">
        <f>IF(Y$79&gt;e_ecolifetime_yr,0,('2. Pathway 2'!$F$89+'2. Pathway 2'!$F$88)*'Data - economic'!$I$43)</f>
        <v>0</v>
      </c>
      <c r="Z90" s="226">
        <f>IF(Z$79&gt;e_ecolifetime_yr,0,('2. Pathway 2'!$F$89+'2. Pathway 2'!$F$88)*'Data - economic'!$I$43)</f>
        <v>0</v>
      </c>
      <c r="AA90" s="226">
        <f>IF(AA$79&gt;e_ecolifetime_yr,0,('2. Pathway 2'!$F$89+'2. Pathway 2'!$F$88)*'Data - economic'!$I$43)</f>
        <v>0</v>
      </c>
      <c r="AB90" s="226">
        <f>IF(AB$79&gt;e_ecolifetime_yr,0,('2. Pathway 2'!$F$89+'2. Pathway 2'!$F$88)*'Data - economic'!$I$43)</f>
        <v>0</v>
      </c>
      <c r="AC90" s="226">
        <f>IF(AC$79&gt;e_ecolifetime_yr,0,('2. Pathway 2'!$F$89+'2. Pathway 2'!$F$88)*'Data - economic'!$I$43)</f>
        <v>0</v>
      </c>
      <c r="AD90" s="226">
        <f>IF(AD$79&gt;e_ecolifetime_yr,0,('2. Pathway 2'!$F$89+'2. Pathway 2'!$F$88)*'Data - economic'!$I$43)</f>
        <v>0</v>
      </c>
      <c r="AE90" s="226">
        <f>IF(AE$79&gt;e_ecolifetime_yr,0,('2. Pathway 2'!$F$89+'2. Pathway 2'!$F$88)*'Data - economic'!$I$43)</f>
        <v>0</v>
      </c>
      <c r="AF90" s="226">
        <f>IF(AF$79&gt;e_ecolifetime_yr,0,('2. Pathway 2'!$F$89+'2. Pathway 2'!$F$88)*'Data - economic'!$I$43)</f>
        <v>0</v>
      </c>
      <c r="AG90" s="226">
        <f>IF(AG$79&gt;e_ecolifetime_yr,0,('2. Pathway 2'!$F$89+'2. Pathway 2'!$F$88)*'Data - economic'!$I$43)</f>
        <v>0</v>
      </c>
      <c r="AH90" s="226">
        <f>IF(AH$79&gt;e_ecolifetime_yr,0,('2. Pathway 2'!$F$89+'2. Pathway 2'!$F$88)*'Data - economic'!$I$43)</f>
        <v>0</v>
      </c>
      <c r="AI90" s="383">
        <f>IF(AI$79&gt;e_ecolifetime_yr,0,('2. Pathway 2'!$F$89+'2. Pathway 2'!$F$88)*'Data - economic'!$I$43)</f>
        <v>0</v>
      </c>
    </row>
    <row r="91" spans="2:35" x14ac:dyDescent="0.2">
      <c r="B91" s="9"/>
      <c r="C91" s="21"/>
      <c r="D91" s="1" t="s">
        <v>304</v>
      </c>
      <c r="E91" s="226"/>
      <c r="F91" s="226">
        <f>IF(F$79&gt;e_ecolifetime_yr,0,'2. Pathway 2'!$F$89*'Data - economic'!$I$44)</f>
        <v>0</v>
      </c>
      <c r="G91" s="226">
        <f>IF(G$79&gt;e_ecolifetime_yr,0,'2. Pathway 2'!$F$89*'Data - economic'!$I$44)</f>
        <v>0</v>
      </c>
      <c r="H91" s="226">
        <f>IF(H$79&gt;e_ecolifetime_yr,0,'2. Pathway 2'!$F$89*'Data - economic'!$I$44)</f>
        <v>0</v>
      </c>
      <c r="I91" s="226">
        <f>IF(I$79&gt;e_ecolifetime_yr,0,'2. Pathway 2'!$F$89*'Data - economic'!$I$44)</f>
        <v>0</v>
      </c>
      <c r="J91" s="226">
        <f>IF(J$79&gt;e_ecolifetime_yr,0,'2. Pathway 2'!$F$89*'Data - economic'!$I$44)</f>
        <v>0</v>
      </c>
      <c r="K91" s="226">
        <f>IF(K$79&gt;e_ecolifetime_yr,0,'2. Pathway 2'!$F$89*'Data - economic'!$I$44)</f>
        <v>0</v>
      </c>
      <c r="L91" s="226">
        <f>IF(L$79&gt;e_ecolifetime_yr,0,'2. Pathway 2'!$F$89*'Data - economic'!$I$44)</f>
        <v>0</v>
      </c>
      <c r="M91" s="226">
        <f>IF(M$79&gt;e_ecolifetime_yr,0,'2. Pathway 2'!$F$89*'Data - economic'!$I$44)</f>
        <v>0</v>
      </c>
      <c r="N91" s="226">
        <f>IF(N$79&gt;e_ecolifetime_yr,0,'2. Pathway 2'!$F$89*'Data - economic'!$I$44)</f>
        <v>0</v>
      </c>
      <c r="O91" s="226">
        <f>IF(O$79&gt;e_ecolifetime_yr,0,'2. Pathway 2'!$F$89*'Data - economic'!$I$44)</f>
        <v>0</v>
      </c>
      <c r="P91" s="226">
        <f>IF(P$79&gt;e_ecolifetime_yr,0,'2. Pathway 2'!$F$89*'Data - economic'!$I$44)</f>
        <v>0</v>
      </c>
      <c r="Q91" s="226">
        <f>IF(Q$79&gt;e_ecolifetime_yr,0,'2. Pathway 2'!$F$89*'Data - economic'!$I$44)</f>
        <v>0</v>
      </c>
      <c r="R91" s="226">
        <f>IF(R$79&gt;e_ecolifetime_yr,0,'2. Pathway 2'!$F$89*'Data - economic'!$I$44)</f>
        <v>0</v>
      </c>
      <c r="S91" s="226">
        <f>IF(S$79&gt;e_ecolifetime_yr,0,'2. Pathway 2'!$F$89*'Data - economic'!$I$44)</f>
        <v>0</v>
      </c>
      <c r="T91" s="226">
        <f>IF(T$79&gt;e_ecolifetime_yr,0,'2. Pathway 2'!$F$89*'Data - economic'!$I$44)</f>
        <v>0</v>
      </c>
      <c r="U91" s="226">
        <f>IF(U$79&gt;e_ecolifetime_yr,0,'2. Pathway 2'!$F$89*'Data - economic'!$I$44)</f>
        <v>0</v>
      </c>
      <c r="V91" s="226">
        <f>IF(V$79&gt;e_ecolifetime_yr,0,'2. Pathway 2'!$F$89*'Data - economic'!$I$44)</f>
        <v>0</v>
      </c>
      <c r="W91" s="226">
        <f>IF(W$79&gt;e_ecolifetime_yr,0,'2. Pathway 2'!$F$89*'Data - economic'!$I$44)</f>
        <v>0</v>
      </c>
      <c r="X91" s="226">
        <f>IF(X$79&gt;e_ecolifetime_yr,0,'2. Pathway 2'!$F$89*'Data - economic'!$I$44)</f>
        <v>0</v>
      </c>
      <c r="Y91" s="226">
        <f>IF(Y$79&gt;e_ecolifetime_yr,0,'2. Pathway 2'!$F$89*'Data - economic'!$I$44)</f>
        <v>0</v>
      </c>
      <c r="Z91" s="226">
        <f>IF(Z$79&gt;e_ecolifetime_yr,0,'2. Pathway 2'!$F$89*'Data - economic'!$I$44)</f>
        <v>0</v>
      </c>
      <c r="AA91" s="226">
        <f>IF(AA$79&gt;e_ecolifetime_yr,0,'2. Pathway 2'!$F$89*'Data - economic'!$I$44)</f>
        <v>0</v>
      </c>
      <c r="AB91" s="226">
        <f>IF(AB$79&gt;e_ecolifetime_yr,0,'2. Pathway 2'!$F$89*'Data - economic'!$I$44)</f>
        <v>0</v>
      </c>
      <c r="AC91" s="226">
        <f>IF(AC$79&gt;e_ecolifetime_yr,0,'2. Pathway 2'!$F$89*'Data - economic'!$I$44)</f>
        <v>0</v>
      </c>
      <c r="AD91" s="226">
        <f>IF(AD$79&gt;e_ecolifetime_yr,0,'2. Pathway 2'!$F$89*'Data - economic'!$I$44)</f>
        <v>0</v>
      </c>
      <c r="AE91" s="226">
        <f>IF(AE$79&gt;e_ecolifetime_yr,0,'2. Pathway 2'!$F$89*'Data - economic'!$I$44)</f>
        <v>0</v>
      </c>
      <c r="AF91" s="226">
        <f>IF(AF$79&gt;e_ecolifetime_yr,0,'2. Pathway 2'!$F$89*'Data - economic'!$I$44)</f>
        <v>0</v>
      </c>
      <c r="AG91" s="226">
        <f>IF(AG$79&gt;e_ecolifetime_yr,0,'2. Pathway 2'!$F$89*'Data - economic'!$I$44)</f>
        <v>0</v>
      </c>
      <c r="AH91" s="226">
        <f>IF(AH$79&gt;e_ecolifetime_yr,0,'2. Pathway 2'!$F$89*'Data - economic'!$I$44)</f>
        <v>0</v>
      </c>
      <c r="AI91" s="383">
        <f>IF(AI$79&gt;e_ecolifetime_yr,0,'2. Pathway 2'!$F$89*'Data - economic'!$I$44)</f>
        <v>0</v>
      </c>
    </row>
    <row r="92" spans="2:35" x14ac:dyDescent="0.2">
      <c r="B92" s="9"/>
      <c r="C92" s="21"/>
      <c r="D92" s="1" t="s">
        <v>306</v>
      </c>
      <c r="E92" s="226"/>
      <c r="F92" s="226">
        <f>IF(F$79&gt;e_ecolifetime_yr,0,'2. Pathway 2'!$F$89*'Data - economic'!$I$45)</f>
        <v>0</v>
      </c>
      <c r="G92" s="226">
        <f>IF(G$79&gt;e_ecolifetime_yr,0,'2. Pathway 2'!$F$89*'Data - economic'!$I$45)</f>
        <v>0</v>
      </c>
      <c r="H92" s="226">
        <f>IF(H$79&gt;e_ecolifetime_yr,0,'2. Pathway 2'!$F$89*'Data - economic'!$I$45)</f>
        <v>0</v>
      </c>
      <c r="I92" s="226">
        <f>IF(I$79&gt;e_ecolifetime_yr,0,'2. Pathway 2'!$F$89*'Data - economic'!$I$45)</f>
        <v>0</v>
      </c>
      <c r="J92" s="226">
        <f>IF(J$79&gt;e_ecolifetime_yr,0,'2. Pathway 2'!$F$89*'Data - economic'!$I$45)</f>
        <v>0</v>
      </c>
      <c r="K92" s="226">
        <f>IF(K$79&gt;e_ecolifetime_yr,0,'2. Pathway 2'!$F$89*'Data - economic'!$I$45)</f>
        <v>0</v>
      </c>
      <c r="L92" s="226">
        <f>IF(L$79&gt;e_ecolifetime_yr,0,'2. Pathway 2'!$F$89*'Data - economic'!$I$45)</f>
        <v>0</v>
      </c>
      <c r="M92" s="226">
        <f>IF(M$79&gt;e_ecolifetime_yr,0,'2. Pathway 2'!$F$89*'Data - economic'!$I$45)</f>
        <v>0</v>
      </c>
      <c r="N92" s="226">
        <f>IF(N$79&gt;e_ecolifetime_yr,0,'2. Pathway 2'!$F$89*'Data - economic'!$I$45)</f>
        <v>0</v>
      </c>
      <c r="O92" s="226">
        <f>IF(O$79&gt;e_ecolifetime_yr,0,'2. Pathway 2'!$F$89*'Data - economic'!$I$45)</f>
        <v>0</v>
      </c>
      <c r="P92" s="226">
        <f>IF(P$79&gt;e_ecolifetime_yr,0,'2. Pathway 2'!$F$89*'Data - economic'!$I$45)</f>
        <v>0</v>
      </c>
      <c r="Q92" s="226">
        <f>IF(Q$79&gt;e_ecolifetime_yr,0,'2. Pathway 2'!$F$89*'Data - economic'!$I$45)</f>
        <v>0</v>
      </c>
      <c r="R92" s="226">
        <f>IF(R$79&gt;e_ecolifetime_yr,0,'2. Pathway 2'!$F$89*'Data - economic'!$I$45)</f>
        <v>0</v>
      </c>
      <c r="S92" s="226">
        <f>IF(S$79&gt;e_ecolifetime_yr,0,'2. Pathway 2'!$F$89*'Data - economic'!$I$45)</f>
        <v>0</v>
      </c>
      <c r="T92" s="226">
        <f>IF(T$79&gt;e_ecolifetime_yr,0,'2. Pathway 2'!$F$89*'Data - economic'!$I$45)</f>
        <v>0</v>
      </c>
      <c r="U92" s="226">
        <f>IF(U$79&gt;e_ecolifetime_yr,0,'2. Pathway 2'!$F$89*'Data - economic'!$I$45)</f>
        <v>0</v>
      </c>
      <c r="V92" s="226">
        <f>IF(V$79&gt;e_ecolifetime_yr,0,'2. Pathway 2'!$F$89*'Data - economic'!$I$45)</f>
        <v>0</v>
      </c>
      <c r="W92" s="226">
        <f>IF(W$79&gt;e_ecolifetime_yr,0,'2. Pathway 2'!$F$89*'Data - economic'!$I$45)</f>
        <v>0</v>
      </c>
      <c r="X92" s="226">
        <f>IF(X$79&gt;e_ecolifetime_yr,0,'2. Pathway 2'!$F$89*'Data - economic'!$I$45)</f>
        <v>0</v>
      </c>
      <c r="Y92" s="226">
        <f>IF(Y$79&gt;e_ecolifetime_yr,0,'2. Pathway 2'!$F$89*'Data - economic'!$I$45)</f>
        <v>0</v>
      </c>
      <c r="Z92" s="226">
        <f>IF(Z$79&gt;e_ecolifetime_yr,0,'2. Pathway 2'!$F$89*'Data - economic'!$I$45)</f>
        <v>0</v>
      </c>
      <c r="AA92" s="226">
        <f>IF(AA$79&gt;e_ecolifetime_yr,0,'2. Pathway 2'!$F$89*'Data - economic'!$I$45)</f>
        <v>0</v>
      </c>
      <c r="AB92" s="226">
        <f>IF(AB$79&gt;e_ecolifetime_yr,0,'2. Pathway 2'!$F$89*'Data - economic'!$I$45)</f>
        <v>0</v>
      </c>
      <c r="AC92" s="226">
        <f>IF(AC$79&gt;e_ecolifetime_yr,0,'2. Pathway 2'!$F$89*'Data - economic'!$I$45)</f>
        <v>0</v>
      </c>
      <c r="AD92" s="226">
        <f>IF(AD$79&gt;e_ecolifetime_yr,0,'2. Pathway 2'!$F$89*'Data - economic'!$I$45)</f>
        <v>0</v>
      </c>
      <c r="AE92" s="226">
        <f>IF(AE$79&gt;e_ecolifetime_yr,0,'2. Pathway 2'!$F$89*'Data - economic'!$I$45)</f>
        <v>0</v>
      </c>
      <c r="AF92" s="226">
        <f>IF(AF$79&gt;e_ecolifetime_yr,0,'2. Pathway 2'!$F$89*'Data - economic'!$I$45)</f>
        <v>0</v>
      </c>
      <c r="AG92" s="226">
        <f>IF(AG$79&gt;e_ecolifetime_yr,0,'2. Pathway 2'!$F$89*'Data - economic'!$I$45)</f>
        <v>0</v>
      </c>
      <c r="AH92" s="226">
        <f>IF(AH$79&gt;e_ecolifetime_yr,0,'2. Pathway 2'!$F$89*'Data - economic'!$I$45)</f>
        <v>0</v>
      </c>
      <c r="AI92" s="383">
        <f>IF(AI$79&gt;e_ecolifetime_yr,0,'2. Pathway 2'!$F$89*'Data - economic'!$I$45)</f>
        <v>0</v>
      </c>
    </row>
    <row r="93" spans="2:35" x14ac:dyDescent="0.2">
      <c r="B93" s="9"/>
      <c r="C93" s="21"/>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8"/>
    </row>
    <row r="94" spans="2:35" x14ac:dyDescent="0.2">
      <c r="B94" s="9"/>
      <c r="C94" s="21"/>
      <c r="E94" s="226"/>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8"/>
    </row>
    <row r="95" spans="2:35" x14ac:dyDescent="0.2">
      <c r="B95" s="9"/>
      <c r="C95" s="21" t="s">
        <v>47</v>
      </c>
      <c r="D95" s="1" t="s">
        <v>623</v>
      </c>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8"/>
    </row>
    <row r="96" spans="2:35" x14ac:dyDescent="0.2">
      <c r="B96" s="9"/>
      <c r="C96" s="21"/>
      <c r="D96" s="1" t="s">
        <v>320</v>
      </c>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8"/>
    </row>
    <row r="97" spans="2:35" x14ac:dyDescent="0.2">
      <c r="B97" s="9"/>
      <c r="C97" s="21"/>
      <c r="D97" s="1" t="s">
        <v>387</v>
      </c>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8"/>
    </row>
    <row r="98" spans="2:35" x14ac:dyDescent="0.2">
      <c r="B98" s="9"/>
      <c r="C98" s="21"/>
      <c r="D98" s="1" t="s">
        <v>151</v>
      </c>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8"/>
    </row>
    <row r="99" spans="2:35" x14ac:dyDescent="0.2">
      <c r="B99" s="9"/>
      <c r="C99" s="21"/>
      <c r="D99" s="1" t="s">
        <v>624</v>
      </c>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8"/>
    </row>
    <row r="100" spans="2:35" x14ac:dyDescent="0.2">
      <c r="B100" s="9"/>
      <c r="C100" s="21"/>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8"/>
    </row>
    <row r="101" spans="2:35" x14ac:dyDescent="0.2">
      <c r="B101" s="9"/>
      <c r="C101" s="21" t="s">
        <v>47</v>
      </c>
      <c r="D101" s="1" t="s">
        <v>623</v>
      </c>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8"/>
    </row>
    <row r="102" spans="2:35" x14ac:dyDescent="0.2">
      <c r="B102" s="9"/>
      <c r="C102" s="21"/>
      <c r="D102" s="1" t="s">
        <v>320</v>
      </c>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8"/>
    </row>
    <row r="103" spans="2:35" x14ac:dyDescent="0.2">
      <c r="B103" s="9"/>
      <c r="C103" s="21"/>
      <c r="D103" s="1" t="s">
        <v>387</v>
      </c>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8"/>
    </row>
    <row r="104" spans="2:35" x14ac:dyDescent="0.2">
      <c r="B104" s="9"/>
      <c r="C104" s="21"/>
      <c r="D104" s="1" t="s">
        <v>151</v>
      </c>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8"/>
    </row>
    <row r="105" spans="2:35" x14ac:dyDescent="0.2">
      <c r="B105" s="9"/>
      <c r="C105" s="21"/>
      <c r="D105" s="1" t="s">
        <v>624</v>
      </c>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8"/>
    </row>
    <row r="106" spans="2:35" x14ac:dyDescent="0.2">
      <c r="B106" s="9"/>
      <c r="C106" s="21"/>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8"/>
    </row>
    <row r="107" spans="2:35" x14ac:dyDescent="0.2">
      <c r="B107" s="9"/>
      <c r="C107" s="21"/>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8"/>
    </row>
    <row r="108" spans="2:35" s="6" customFormat="1" x14ac:dyDescent="0.2">
      <c r="B108" s="8" t="s">
        <v>329</v>
      </c>
      <c r="C108" s="80"/>
      <c r="D108" s="8"/>
      <c r="E108" s="221"/>
      <c r="F108" s="221">
        <f>SUM(F109:F113)</f>
        <v>0</v>
      </c>
      <c r="G108" s="221">
        <f t="shared" ref="G108:AI108" si="2">SUM(G109:G113)</f>
        <v>0</v>
      </c>
      <c r="H108" s="221">
        <f t="shared" si="2"/>
        <v>0</v>
      </c>
      <c r="I108" s="221">
        <f t="shared" si="2"/>
        <v>0</v>
      </c>
      <c r="J108" s="221">
        <f t="shared" si="2"/>
        <v>0</v>
      </c>
      <c r="K108" s="221">
        <f t="shared" si="2"/>
        <v>0</v>
      </c>
      <c r="L108" s="221">
        <f t="shared" si="2"/>
        <v>0</v>
      </c>
      <c r="M108" s="221">
        <f t="shared" si="2"/>
        <v>0</v>
      </c>
      <c r="N108" s="221">
        <f t="shared" si="2"/>
        <v>0</v>
      </c>
      <c r="O108" s="221">
        <f t="shared" si="2"/>
        <v>0</v>
      </c>
      <c r="P108" s="221">
        <f t="shared" si="2"/>
        <v>0</v>
      </c>
      <c r="Q108" s="221">
        <f t="shared" si="2"/>
        <v>0</v>
      </c>
      <c r="R108" s="221">
        <f t="shared" si="2"/>
        <v>0</v>
      </c>
      <c r="S108" s="221">
        <f t="shared" si="2"/>
        <v>0</v>
      </c>
      <c r="T108" s="221">
        <f t="shared" si="2"/>
        <v>0</v>
      </c>
      <c r="U108" s="221">
        <f t="shared" si="2"/>
        <v>0</v>
      </c>
      <c r="V108" s="221">
        <f t="shared" si="2"/>
        <v>0</v>
      </c>
      <c r="W108" s="221">
        <f t="shared" si="2"/>
        <v>0</v>
      </c>
      <c r="X108" s="221">
        <f t="shared" si="2"/>
        <v>0</v>
      </c>
      <c r="Y108" s="221">
        <f t="shared" si="2"/>
        <v>0</v>
      </c>
      <c r="Z108" s="221">
        <f t="shared" si="2"/>
        <v>0</v>
      </c>
      <c r="AA108" s="221">
        <f t="shared" si="2"/>
        <v>0</v>
      </c>
      <c r="AB108" s="221">
        <f t="shared" si="2"/>
        <v>0</v>
      </c>
      <c r="AC108" s="221">
        <f t="shared" si="2"/>
        <v>0</v>
      </c>
      <c r="AD108" s="221">
        <f t="shared" si="2"/>
        <v>0</v>
      </c>
      <c r="AE108" s="221">
        <f t="shared" si="2"/>
        <v>0</v>
      </c>
      <c r="AF108" s="221">
        <f t="shared" si="2"/>
        <v>0</v>
      </c>
      <c r="AG108" s="221">
        <f t="shared" si="2"/>
        <v>0</v>
      </c>
      <c r="AH108" s="221">
        <f t="shared" si="2"/>
        <v>0</v>
      </c>
      <c r="AI108" s="222">
        <f t="shared" si="2"/>
        <v>0</v>
      </c>
    </row>
    <row r="109" spans="2:35" x14ac:dyDescent="0.2">
      <c r="B109" s="9"/>
      <c r="C109" s="21" t="s">
        <v>47</v>
      </c>
      <c r="D109" s="1" t="s">
        <v>333</v>
      </c>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8"/>
    </row>
    <row r="110" spans="2:35" x14ac:dyDescent="0.2">
      <c r="B110" s="9"/>
      <c r="C110" s="21"/>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8"/>
    </row>
    <row r="111" spans="2:35" x14ac:dyDescent="0.2">
      <c r="B111" s="9"/>
      <c r="C111" s="21"/>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8"/>
    </row>
    <row r="112" spans="2:35" x14ac:dyDescent="0.2">
      <c r="B112" s="9"/>
      <c r="C112" s="21" t="s">
        <v>447</v>
      </c>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8"/>
    </row>
    <row r="113" spans="2:35" x14ac:dyDescent="0.2">
      <c r="B113" s="9"/>
      <c r="C113" s="21"/>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8"/>
    </row>
    <row r="114" spans="2:35" s="6" customFormat="1" x14ac:dyDescent="0.2">
      <c r="B114" s="10" t="s">
        <v>448</v>
      </c>
      <c r="C114" s="83"/>
      <c r="D114" s="10"/>
      <c r="E114" s="84"/>
      <c r="F114" s="84">
        <f t="shared" ref="F114:AI114" si="3">F108-F86-F80</f>
        <v>0</v>
      </c>
      <c r="G114" s="84">
        <f t="shared" si="3"/>
        <v>0</v>
      </c>
      <c r="H114" s="84">
        <f t="shared" si="3"/>
        <v>0</v>
      </c>
      <c r="I114" s="84">
        <f t="shared" si="3"/>
        <v>0</v>
      </c>
      <c r="J114" s="84">
        <f t="shared" si="3"/>
        <v>0</v>
      </c>
      <c r="K114" s="84">
        <f t="shared" si="3"/>
        <v>0</v>
      </c>
      <c r="L114" s="84">
        <f t="shared" si="3"/>
        <v>0</v>
      </c>
      <c r="M114" s="84">
        <f t="shared" si="3"/>
        <v>0</v>
      </c>
      <c r="N114" s="84">
        <f t="shared" si="3"/>
        <v>0</v>
      </c>
      <c r="O114" s="84">
        <f t="shared" si="3"/>
        <v>0</v>
      </c>
      <c r="P114" s="84">
        <f t="shared" si="3"/>
        <v>0</v>
      </c>
      <c r="Q114" s="84">
        <f t="shared" si="3"/>
        <v>0</v>
      </c>
      <c r="R114" s="84">
        <f t="shared" si="3"/>
        <v>0</v>
      </c>
      <c r="S114" s="84">
        <f t="shared" si="3"/>
        <v>0</v>
      </c>
      <c r="T114" s="84">
        <f t="shared" si="3"/>
        <v>0</v>
      </c>
      <c r="U114" s="84">
        <f t="shared" si="3"/>
        <v>0</v>
      </c>
      <c r="V114" s="84">
        <f t="shared" si="3"/>
        <v>0</v>
      </c>
      <c r="W114" s="84">
        <f t="shared" si="3"/>
        <v>0</v>
      </c>
      <c r="X114" s="84">
        <f t="shared" si="3"/>
        <v>0</v>
      </c>
      <c r="Y114" s="84">
        <f t="shared" si="3"/>
        <v>0</v>
      </c>
      <c r="Z114" s="84">
        <f t="shared" si="3"/>
        <v>0</v>
      </c>
      <c r="AA114" s="84">
        <f t="shared" si="3"/>
        <v>0</v>
      </c>
      <c r="AB114" s="84">
        <f t="shared" si="3"/>
        <v>0</v>
      </c>
      <c r="AC114" s="84">
        <f t="shared" si="3"/>
        <v>0</v>
      </c>
      <c r="AD114" s="84">
        <f t="shared" si="3"/>
        <v>0</v>
      </c>
      <c r="AE114" s="84">
        <f t="shared" si="3"/>
        <v>0</v>
      </c>
      <c r="AF114" s="84">
        <f t="shared" si="3"/>
        <v>0</v>
      </c>
      <c r="AG114" s="84">
        <f t="shared" si="3"/>
        <v>0</v>
      </c>
      <c r="AH114" s="84">
        <f t="shared" si="3"/>
        <v>0</v>
      </c>
      <c r="AI114" s="368">
        <f t="shared" si="3"/>
        <v>0</v>
      </c>
    </row>
    <row r="115" spans="2:35" x14ac:dyDescent="0.2">
      <c r="B115" s="8" t="s">
        <v>449</v>
      </c>
      <c r="C115" s="21" t="s">
        <v>47</v>
      </c>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8"/>
    </row>
    <row r="116" spans="2:35" x14ac:dyDescent="0.2">
      <c r="B116" s="9"/>
      <c r="C116" s="21" t="s">
        <v>47</v>
      </c>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8"/>
    </row>
    <row r="117" spans="2:35" x14ac:dyDescent="0.2">
      <c r="B117" s="9"/>
      <c r="C117" s="21"/>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8"/>
    </row>
    <row r="118" spans="2:35" x14ac:dyDescent="0.2">
      <c r="B118" s="9"/>
      <c r="C118" s="21"/>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8"/>
    </row>
    <row r="119" spans="2:35" x14ac:dyDescent="0.2">
      <c r="B119" s="9"/>
      <c r="C119" s="21"/>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8"/>
    </row>
    <row r="120" spans="2:35" x14ac:dyDescent="0.2">
      <c r="B120" s="39" t="s">
        <v>450</v>
      </c>
      <c r="C120" s="21"/>
      <c r="D120" s="9"/>
      <c r="E120" s="231"/>
      <c r="F120" s="231">
        <f>SUM(F115:F119)</f>
        <v>0</v>
      </c>
      <c r="G120" s="231">
        <f t="shared" ref="G120:AI120" si="4">SUM(G115:G119)</f>
        <v>0</v>
      </c>
      <c r="H120" s="231">
        <f t="shared" si="4"/>
        <v>0</v>
      </c>
      <c r="I120" s="231">
        <f t="shared" si="4"/>
        <v>0</v>
      </c>
      <c r="J120" s="231">
        <f t="shared" si="4"/>
        <v>0</v>
      </c>
      <c r="K120" s="231">
        <f t="shared" si="4"/>
        <v>0</v>
      </c>
      <c r="L120" s="231">
        <f t="shared" si="4"/>
        <v>0</v>
      </c>
      <c r="M120" s="231">
        <f t="shared" si="4"/>
        <v>0</v>
      </c>
      <c r="N120" s="231">
        <f t="shared" si="4"/>
        <v>0</v>
      </c>
      <c r="O120" s="231">
        <f t="shared" si="4"/>
        <v>0</v>
      </c>
      <c r="P120" s="231">
        <f t="shared" si="4"/>
        <v>0</v>
      </c>
      <c r="Q120" s="231">
        <f t="shared" si="4"/>
        <v>0</v>
      </c>
      <c r="R120" s="231">
        <f t="shared" si="4"/>
        <v>0</v>
      </c>
      <c r="S120" s="231">
        <f t="shared" si="4"/>
        <v>0</v>
      </c>
      <c r="T120" s="231">
        <f t="shared" si="4"/>
        <v>0</v>
      </c>
      <c r="U120" s="231">
        <f t="shared" si="4"/>
        <v>0</v>
      </c>
      <c r="V120" s="231">
        <f t="shared" si="4"/>
        <v>0</v>
      </c>
      <c r="W120" s="231">
        <f t="shared" si="4"/>
        <v>0</v>
      </c>
      <c r="X120" s="231">
        <f t="shared" si="4"/>
        <v>0</v>
      </c>
      <c r="Y120" s="231">
        <f t="shared" si="4"/>
        <v>0</v>
      </c>
      <c r="Z120" s="231">
        <f t="shared" si="4"/>
        <v>0</v>
      </c>
      <c r="AA120" s="231">
        <f t="shared" si="4"/>
        <v>0</v>
      </c>
      <c r="AB120" s="231">
        <f t="shared" si="4"/>
        <v>0</v>
      </c>
      <c r="AC120" s="231">
        <f t="shared" si="4"/>
        <v>0</v>
      </c>
      <c r="AD120" s="231">
        <f t="shared" si="4"/>
        <v>0</v>
      </c>
      <c r="AE120" s="231">
        <f t="shared" si="4"/>
        <v>0</v>
      </c>
      <c r="AF120" s="231">
        <f t="shared" si="4"/>
        <v>0</v>
      </c>
      <c r="AG120" s="231">
        <f t="shared" si="4"/>
        <v>0</v>
      </c>
      <c r="AH120" s="231">
        <f t="shared" si="4"/>
        <v>0</v>
      </c>
      <c r="AI120" s="232">
        <f t="shared" si="4"/>
        <v>0</v>
      </c>
    </row>
    <row r="121" spans="2:35" x14ac:dyDescent="0.2">
      <c r="B121" s="39" t="s">
        <v>451</v>
      </c>
      <c r="C121" s="9"/>
      <c r="E121" s="226" cm="1">
        <f t="array" ref="E121">e_debt_ratio*'2. Pathway 2'!E80</f>
        <v>0</v>
      </c>
      <c r="F121" s="226" cm="1">
        <f t="array" ref="F121">IF(F79&gt;e_ecolifetime_yr,0,E121*e_interestrate)</f>
        <v>0</v>
      </c>
      <c r="G121" s="226" cm="1">
        <f t="array" ref="G121">IF(G79&gt;e_ecolifetime_yr,0,($E$121-(F122*F79))*e_interestrate)</f>
        <v>0</v>
      </c>
      <c r="H121" s="226" cm="1">
        <f t="array" ref="H121">IF(H79&gt;e_ecolifetime_yr,0,($E$121-(G122*G79))*e_interestrate)</f>
        <v>0</v>
      </c>
      <c r="I121" s="226" cm="1">
        <f t="array" ref="I121">IF(I79&gt;e_ecolifetime_yr,0,($E$121-(H122*H79))*e_interestrate)</f>
        <v>0</v>
      </c>
      <c r="J121" s="226" cm="1">
        <f t="array" ref="J121">IF(J79&gt;e_ecolifetime_yr,0,($E$121-(I122*I79))*e_interestrate)</f>
        <v>0</v>
      </c>
      <c r="K121" s="226" cm="1">
        <f t="array" ref="K121">IF(K79&gt;e_ecolifetime_yr,0,($E$121-(J122*J79))*e_interestrate)</f>
        <v>0</v>
      </c>
      <c r="L121" s="226" cm="1">
        <f t="array" ref="L121">IF(L79&gt;e_ecolifetime_yr,0,($E$121-(K122*K79))*e_interestrate)</f>
        <v>0</v>
      </c>
      <c r="M121" s="226" cm="1">
        <f t="array" ref="M121">IF(M79&gt;e_ecolifetime_yr,0,($E$121-(L122*L79))*e_interestrate)</f>
        <v>0</v>
      </c>
      <c r="N121" s="226" cm="1">
        <f t="array" ref="N121">IF(N79&gt;e_ecolifetime_yr,0,($E$121-(M122*M79))*e_interestrate)</f>
        <v>0</v>
      </c>
      <c r="O121" s="226" cm="1">
        <f t="array" ref="O121">IF(O79&gt;e_ecolifetime_yr,0,($E$121-(N122*N79))*e_interestrate)</f>
        <v>0</v>
      </c>
      <c r="P121" s="226" cm="1">
        <f t="array" ref="P121">IF(P79&gt;e_ecolifetime_yr,0,($E$121-(O122*O79))*e_interestrate)</f>
        <v>0</v>
      </c>
      <c r="Q121" s="226" cm="1">
        <f t="array" ref="Q121">IF(Q79&gt;e_ecolifetime_yr,0,($E$121-(P122*P79))*e_interestrate)</f>
        <v>0</v>
      </c>
      <c r="R121" s="226" cm="1">
        <f t="array" ref="R121">IF(R79&gt;e_ecolifetime_yr,0,($E$121-(Q122*Q79))*e_interestrate)</f>
        <v>0</v>
      </c>
      <c r="S121" s="226" cm="1">
        <f t="array" ref="S121">IF(S79&gt;e_ecolifetime_yr,0,($E$121-(R122*R79))*e_interestrate)</f>
        <v>0</v>
      </c>
      <c r="T121" s="226" cm="1">
        <f t="array" ref="T121">IF(T79&gt;e_ecolifetime_yr,0,($E$121-(S122*S79))*e_interestrate)</f>
        <v>0</v>
      </c>
      <c r="U121" s="226" cm="1">
        <f t="array" ref="U121">IF(U79&gt;e_ecolifetime_yr,0,($E$121-(T122*T79))*e_interestrate)</f>
        <v>0</v>
      </c>
      <c r="V121" s="226" cm="1">
        <f t="array" ref="V121">IF(V79&gt;e_ecolifetime_yr,0,($E$121-(U122*U79))*e_interestrate)</f>
        <v>0</v>
      </c>
      <c r="W121" s="226" cm="1">
        <f t="array" ref="W121">IF(W79&gt;e_ecolifetime_yr,0,($E$121-(V122*V79))*e_interestrate)</f>
        <v>0</v>
      </c>
      <c r="X121" s="226" cm="1">
        <f t="array" ref="X121">IF(X79&gt;e_ecolifetime_yr,0,($E$121-(W122*W79))*e_interestrate)</f>
        <v>0</v>
      </c>
      <c r="Y121" s="226" cm="1">
        <f t="array" ref="Y121">IF(Y79&gt;e_ecolifetime_yr,0,($E$121-(X122*X79))*e_interestrate)</f>
        <v>0</v>
      </c>
      <c r="Z121" s="226" cm="1">
        <f t="array" ref="Z121">IF(Z79&gt;e_ecolifetime_yr,0,($E$121-(Y122*Y79))*e_interestrate)</f>
        <v>0</v>
      </c>
      <c r="AA121" s="226" cm="1">
        <f t="array" ref="AA121">IF(AA79&gt;e_ecolifetime_yr,0,($E$121-(Z122*Z79))*e_interestrate)</f>
        <v>0</v>
      </c>
      <c r="AB121" s="226" cm="1">
        <f t="array" ref="AB121">IF(AB79&gt;e_ecolifetime_yr,0,($E$121-(AA122*AA79))*e_interestrate)</f>
        <v>0</v>
      </c>
      <c r="AC121" s="226" cm="1">
        <f t="array" ref="AC121">IF(AC79&gt;e_ecolifetime_yr,0,($E$121-(AB122*AB79))*e_interestrate)</f>
        <v>0</v>
      </c>
      <c r="AD121" s="226" cm="1">
        <f t="array" ref="AD121">IF(AD79&gt;e_ecolifetime_yr,0,($E$121-(AC122*AC79))*e_interestrate)</f>
        <v>0</v>
      </c>
      <c r="AE121" s="226" cm="1">
        <f t="array" ref="AE121">IF(AE79&gt;e_ecolifetime_yr,0,($E$121-(AD122*AD79))*e_interestrate)</f>
        <v>0</v>
      </c>
      <c r="AF121" s="226" cm="1">
        <f t="array" ref="AF121">IF(AF79&gt;e_ecolifetime_yr,0,($E$121-(AE122*AE79))*e_interestrate)</f>
        <v>0</v>
      </c>
      <c r="AG121" s="226" cm="1">
        <f t="array" ref="AG121">IF(AG79&gt;e_ecolifetime_yr,0,($E$121-(AF122*AF79))*e_interestrate)</f>
        <v>0</v>
      </c>
      <c r="AH121" s="226" cm="1">
        <f t="array" ref="AH121">IF(AH79&gt;e_ecolifetime_yr,0,($E$121-(AG122*AG79))*e_interestrate)</f>
        <v>0</v>
      </c>
      <c r="AI121" s="228" cm="1">
        <f t="array" ref="AI121">IF(AI79&gt;e_ecolifetime_yr,0,($E$121-(AH122*AH79))*e_interestrate)</f>
        <v>0</v>
      </c>
    </row>
    <row r="122" spans="2:35" x14ac:dyDescent="0.2">
      <c r="B122" s="39" t="s">
        <v>452</v>
      </c>
      <c r="C122" s="9"/>
      <c r="E122" s="226"/>
      <c r="F122" s="226" cm="1">
        <f t="array" ref="F122">IF(F79&gt;e_ecolifetime_yr,0,$E$121/e_ecolifetime_yr)</f>
        <v>0</v>
      </c>
      <c r="G122" s="226" cm="1">
        <f t="array" ref="G122">IF(G79&gt;e_ecolifetime_yr,0,$E$121/e_ecolifetime_yr)</f>
        <v>0</v>
      </c>
      <c r="H122" s="226" cm="1">
        <f t="array" ref="H122">IF(H79&gt;e_ecolifetime_yr,0,$E$121/e_ecolifetime_yr)</f>
        <v>0</v>
      </c>
      <c r="I122" s="226" cm="1">
        <f t="array" ref="I122">IF(I79&gt;e_ecolifetime_yr,0,$E$121/e_ecolifetime_yr)</f>
        <v>0</v>
      </c>
      <c r="J122" s="226" cm="1">
        <f t="array" ref="J122">IF(J79&gt;e_ecolifetime_yr,0,$E$121/e_ecolifetime_yr)</f>
        <v>0</v>
      </c>
      <c r="K122" s="226" cm="1">
        <f t="array" ref="K122">IF(K79&gt;e_ecolifetime_yr,0,$E$121/e_ecolifetime_yr)</f>
        <v>0</v>
      </c>
      <c r="L122" s="226" cm="1">
        <f t="array" ref="L122">IF(L79&gt;e_ecolifetime_yr,0,$E$121/e_ecolifetime_yr)</f>
        <v>0</v>
      </c>
      <c r="M122" s="226" cm="1">
        <f t="array" ref="M122">IF(M79&gt;e_ecolifetime_yr,0,$E$121/e_ecolifetime_yr)</f>
        <v>0</v>
      </c>
      <c r="N122" s="226" cm="1">
        <f t="array" ref="N122">IF(N79&gt;e_ecolifetime_yr,0,$E$121/e_ecolifetime_yr)</f>
        <v>0</v>
      </c>
      <c r="O122" s="226" cm="1">
        <f t="array" ref="O122">IF(O79&gt;e_ecolifetime_yr,0,$E$121/e_ecolifetime_yr)</f>
        <v>0</v>
      </c>
      <c r="P122" s="226" cm="1">
        <f t="array" ref="P122">IF(P79&gt;e_ecolifetime_yr,0,$E$121/e_ecolifetime_yr)</f>
        <v>0</v>
      </c>
      <c r="Q122" s="226" cm="1">
        <f t="array" ref="Q122">IF(Q79&gt;e_ecolifetime_yr,0,$E$121/e_ecolifetime_yr)</f>
        <v>0</v>
      </c>
      <c r="R122" s="226" cm="1">
        <f t="array" ref="R122">IF(R79&gt;e_ecolifetime_yr,0,$E$121/e_ecolifetime_yr)</f>
        <v>0</v>
      </c>
      <c r="S122" s="226" cm="1">
        <f t="array" ref="S122">IF(S79&gt;e_ecolifetime_yr,0,$E$121/e_ecolifetime_yr)</f>
        <v>0</v>
      </c>
      <c r="T122" s="226" cm="1">
        <f t="array" ref="T122">IF(T79&gt;e_ecolifetime_yr,0,$E$121/e_ecolifetime_yr)</f>
        <v>0</v>
      </c>
      <c r="U122" s="226" cm="1">
        <f t="array" ref="U122">IF(U79&gt;e_ecolifetime_yr,0,$E$121/e_ecolifetime_yr)</f>
        <v>0</v>
      </c>
      <c r="V122" s="226" cm="1">
        <f t="array" ref="V122">IF(V79&gt;e_ecolifetime_yr,0,$E$121/e_ecolifetime_yr)</f>
        <v>0</v>
      </c>
      <c r="W122" s="226" cm="1">
        <f t="array" ref="W122">IF(W79&gt;e_ecolifetime_yr,0,$E$121/e_ecolifetime_yr)</f>
        <v>0</v>
      </c>
      <c r="X122" s="226" cm="1">
        <f t="array" ref="X122">IF(X79&gt;e_ecolifetime_yr,0,$E$121/e_ecolifetime_yr)</f>
        <v>0</v>
      </c>
      <c r="Y122" s="226" cm="1">
        <f t="array" ref="Y122">IF(Y79&gt;e_ecolifetime_yr,0,$E$121/e_ecolifetime_yr)</f>
        <v>0</v>
      </c>
      <c r="Z122" s="226" cm="1">
        <f t="array" ref="Z122">IF(Z79&gt;e_ecolifetime_yr,0,$E$121/e_ecolifetime_yr)</f>
        <v>0</v>
      </c>
      <c r="AA122" s="226" cm="1">
        <f t="array" ref="AA122">IF(AA79&gt;e_ecolifetime_yr,0,$E$121/e_ecolifetime_yr)</f>
        <v>0</v>
      </c>
      <c r="AB122" s="226" cm="1">
        <f t="array" ref="AB122">IF(AB79&gt;e_ecolifetime_yr,0,$E$121/e_ecolifetime_yr)</f>
        <v>0</v>
      </c>
      <c r="AC122" s="226" cm="1">
        <f t="array" ref="AC122">IF(AC79&gt;e_ecolifetime_yr,0,$E$121/e_ecolifetime_yr)</f>
        <v>0</v>
      </c>
      <c r="AD122" s="226" cm="1">
        <f t="array" ref="AD122">IF(AD79&gt;e_ecolifetime_yr,0,$E$121/e_ecolifetime_yr)</f>
        <v>0</v>
      </c>
      <c r="AE122" s="226" cm="1">
        <f t="array" ref="AE122">IF(AE79&gt;e_ecolifetime_yr,0,$E$121/e_ecolifetime_yr)</f>
        <v>0</v>
      </c>
      <c r="AF122" s="226" cm="1">
        <f t="array" ref="AF122">IF(AF79&gt;e_ecolifetime_yr,0,$E$121/e_ecolifetime_yr)</f>
        <v>0</v>
      </c>
      <c r="AG122" s="226" cm="1">
        <f t="array" ref="AG122">IF(AG79&gt;e_ecolifetime_yr,0,$E$121/e_ecolifetime_yr)</f>
        <v>0</v>
      </c>
      <c r="AH122" s="226" cm="1">
        <f t="array" ref="AH122">IF(AH79&gt;e_ecolifetime_yr,0,$E$121/e_ecolifetime_yr)</f>
        <v>0</v>
      </c>
      <c r="AI122" s="228" cm="1">
        <f t="array" ref="AI122">IF(AI79&gt;e_ecolifetime_yr,0,$E$121/e_ecolifetime_yr)</f>
        <v>0</v>
      </c>
    </row>
    <row r="123" spans="2:35" x14ac:dyDescent="0.2">
      <c r="B123" s="234" t="s">
        <v>453</v>
      </c>
      <c r="C123" s="41"/>
      <c r="D123" s="41"/>
      <c r="E123" s="236"/>
      <c r="F123" s="236">
        <f>IF(F114-F120&gt;0,F114-F120,0)</f>
        <v>0</v>
      </c>
      <c r="G123" s="236">
        <f t="shared" ref="G123:AI123" si="5">IF(G114-G120&gt;0,G114-G120,0)</f>
        <v>0</v>
      </c>
      <c r="H123" s="236">
        <f t="shared" si="5"/>
        <v>0</v>
      </c>
      <c r="I123" s="236">
        <f t="shared" si="5"/>
        <v>0</v>
      </c>
      <c r="J123" s="236">
        <f t="shared" si="5"/>
        <v>0</v>
      </c>
      <c r="K123" s="236">
        <f t="shared" si="5"/>
        <v>0</v>
      </c>
      <c r="L123" s="236">
        <f t="shared" si="5"/>
        <v>0</v>
      </c>
      <c r="M123" s="236">
        <f t="shared" si="5"/>
        <v>0</v>
      </c>
      <c r="N123" s="236">
        <f t="shared" si="5"/>
        <v>0</v>
      </c>
      <c r="O123" s="236">
        <f t="shared" si="5"/>
        <v>0</v>
      </c>
      <c r="P123" s="236">
        <f t="shared" si="5"/>
        <v>0</v>
      </c>
      <c r="Q123" s="236">
        <f t="shared" si="5"/>
        <v>0</v>
      </c>
      <c r="R123" s="236">
        <f t="shared" si="5"/>
        <v>0</v>
      </c>
      <c r="S123" s="236">
        <f t="shared" si="5"/>
        <v>0</v>
      </c>
      <c r="T123" s="236">
        <f t="shared" si="5"/>
        <v>0</v>
      </c>
      <c r="U123" s="236">
        <f t="shared" si="5"/>
        <v>0</v>
      </c>
      <c r="V123" s="236">
        <f t="shared" si="5"/>
        <v>0</v>
      </c>
      <c r="W123" s="236">
        <f t="shared" si="5"/>
        <v>0</v>
      </c>
      <c r="X123" s="236">
        <f t="shared" si="5"/>
        <v>0</v>
      </c>
      <c r="Y123" s="236">
        <f t="shared" si="5"/>
        <v>0</v>
      </c>
      <c r="Z123" s="236">
        <f t="shared" si="5"/>
        <v>0</v>
      </c>
      <c r="AA123" s="236">
        <f t="shared" si="5"/>
        <v>0</v>
      </c>
      <c r="AB123" s="236">
        <f t="shared" si="5"/>
        <v>0</v>
      </c>
      <c r="AC123" s="236">
        <f t="shared" si="5"/>
        <v>0</v>
      </c>
      <c r="AD123" s="236">
        <f t="shared" si="5"/>
        <v>0</v>
      </c>
      <c r="AE123" s="236">
        <f t="shared" si="5"/>
        <v>0</v>
      </c>
      <c r="AF123" s="236">
        <f t="shared" si="5"/>
        <v>0</v>
      </c>
      <c r="AG123" s="236">
        <f t="shared" si="5"/>
        <v>0</v>
      </c>
      <c r="AH123" s="236">
        <f t="shared" si="5"/>
        <v>0</v>
      </c>
      <c r="AI123" s="237">
        <f t="shared" si="5"/>
        <v>0</v>
      </c>
    </row>
    <row r="124" spans="2:35" x14ac:dyDescent="0.2">
      <c r="B124" s="39" t="s">
        <v>454</v>
      </c>
      <c r="C124" s="9"/>
      <c r="D124" s="9"/>
      <c r="E124" s="231"/>
      <c r="F124" s="231">
        <f>F114-F121-F122</f>
        <v>0</v>
      </c>
      <c r="G124" s="231">
        <f t="shared" ref="G124:AI124" si="6">G114-G121-G122</f>
        <v>0</v>
      </c>
      <c r="H124" s="231">
        <f t="shared" si="6"/>
        <v>0</v>
      </c>
      <c r="I124" s="231">
        <f t="shared" si="6"/>
        <v>0</v>
      </c>
      <c r="J124" s="231">
        <f t="shared" si="6"/>
        <v>0</v>
      </c>
      <c r="K124" s="231">
        <f t="shared" si="6"/>
        <v>0</v>
      </c>
      <c r="L124" s="231">
        <f t="shared" si="6"/>
        <v>0</v>
      </c>
      <c r="M124" s="231">
        <f t="shared" si="6"/>
        <v>0</v>
      </c>
      <c r="N124" s="231">
        <f t="shared" si="6"/>
        <v>0</v>
      </c>
      <c r="O124" s="231">
        <f t="shared" si="6"/>
        <v>0</v>
      </c>
      <c r="P124" s="231">
        <f t="shared" si="6"/>
        <v>0</v>
      </c>
      <c r="Q124" s="231">
        <f t="shared" si="6"/>
        <v>0</v>
      </c>
      <c r="R124" s="231">
        <f t="shared" si="6"/>
        <v>0</v>
      </c>
      <c r="S124" s="231">
        <f t="shared" si="6"/>
        <v>0</v>
      </c>
      <c r="T124" s="231">
        <f t="shared" si="6"/>
        <v>0</v>
      </c>
      <c r="U124" s="231">
        <f t="shared" si="6"/>
        <v>0</v>
      </c>
      <c r="V124" s="231">
        <f t="shared" si="6"/>
        <v>0</v>
      </c>
      <c r="W124" s="231">
        <f t="shared" si="6"/>
        <v>0</v>
      </c>
      <c r="X124" s="231">
        <f t="shared" si="6"/>
        <v>0</v>
      </c>
      <c r="Y124" s="231">
        <f t="shared" si="6"/>
        <v>0</v>
      </c>
      <c r="Z124" s="231">
        <f t="shared" si="6"/>
        <v>0</v>
      </c>
      <c r="AA124" s="231">
        <f t="shared" si="6"/>
        <v>0</v>
      </c>
      <c r="AB124" s="231">
        <f t="shared" si="6"/>
        <v>0</v>
      </c>
      <c r="AC124" s="231">
        <f t="shared" si="6"/>
        <v>0</v>
      </c>
      <c r="AD124" s="231">
        <f t="shared" si="6"/>
        <v>0</v>
      </c>
      <c r="AE124" s="231">
        <f t="shared" si="6"/>
        <v>0</v>
      </c>
      <c r="AF124" s="231">
        <f t="shared" si="6"/>
        <v>0</v>
      </c>
      <c r="AG124" s="231">
        <f t="shared" si="6"/>
        <v>0</v>
      </c>
      <c r="AH124" s="231">
        <f t="shared" si="6"/>
        <v>0</v>
      </c>
      <c r="AI124" s="232">
        <f t="shared" si="6"/>
        <v>0</v>
      </c>
    </row>
    <row r="125" spans="2:35" x14ac:dyDescent="0.2">
      <c r="B125" s="40" t="s">
        <v>455</v>
      </c>
      <c r="C125" s="11"/>
      <c r="D125" s="7"/>
      <c r="E125" s="85"/>
      <c r="F125" s="85" cm="1">
        <f t="array" ref="F125">F123*e_taxrate_BE</f>
        <v>0</v>
      </c>
      <c r="G125" s="85" cm="1">
        <f t="array" ref="G125">G123*e_taxrate_BE</f>
        <v>0</v>
      </c>
      <c r="H125" s="85" cm="1">
        <f t="array" ref="H125">H123*e_taxrate_BE</f>
        <v>0</v>
      </c>
      <c r="I125" s="85" cm="1">
        <f t="array" ref="I125">I123*e_taxrate_BE</f>
        <v>0</v>
      </c>
      <c r="J125" s="85" cm="1">
        <f t="array" ref="J125">J123*e_taxrate_BE</f>
        <v>0</v>
      </c>
      <c r="K125" s="85" cm="1">
        <f t="array" ref="K125">K123*e_taxrate_BE</f>
        <v>0</v>
      </c>
      <c r="L125" s="85" cm="1">
        <f t="array" ref="L125">L123*e_taxrate_BE</f>
        <v>0</v>
      </c>
      <c r="M125" s="85" cm="1">
        <f t="array" ref="M125">M123*e_taxrate_BE</f>
        <v>0</v>
      </c>
      <c r="N125" s="85" cm="1">
        <f t="array" ref="N125">N123*e_taxrate_BE</f>
        <v>0</v>
      </c>
      <c r="O125" s="85" cm="1">
        <f t="array" ref="O125">O123*e_taxrate_BE</f>
        <v>0</v>
      </c>
      <c r="P125" s="85" cm="1">
        <f t="array" ref="P125">P123*e_taxrate_BE</f>
        <v>0</v>
      </c>
      <c r="Q125" s="85" cm="1">
        <f t="array" ref="Q125">Q123*e_taxrate_BE</f>
        <v>0</v>
      </c>
      <c r="R125" s="85" cm="1">
        <f t="array" ref="R125">R123*e_taxrate_BE</f>
        <v>0</v>
      </c>
      <c r="S125" s="85" cm="1">
        <f t="array" ref="S125">S123*e_taxrate_BE</f>
        <v>0</v>
      </c>
      <c r="T125" s="85" cm="1">
        <f t="array" ref="T125">T123*e_taxrate_BE</f>
        <v>0</v>
      </c>
      <c r="U125" s="85" cm="1">
        <f t="array" ref="U125">U123*e_taxrate_BE</f>
        <v>0</v>
      </c>
      <c r="V125" s="85" cm="1">
        <f t="array" ref="V125">V123*e_taxrate_BE</f>
        <v>0</v>
      </c>
      <c r="W125" s="85" cm="1">
        <f t="array" ref="W125">W123*e_taxrate_BE</f>
        <v>0</v>
      </c>
      <c r="X125" s="85" cm="1">
        <f t="array" ref="X125">X123*e_taxrate_BE</f>
        <v>0</v>
      </c>
      <c r="Y125" s="85" cm="1">
        <f t="array" ref="Y125">Y123*e_taxrate_BE</f>
        <v>0</v>
      </c>
      <c r="Z125" s="85" cm="1">
        <f t="array" ref="Z125">Z123*e_taxrate_BE</f>
        <v>0</v>
      </c>
      <c r="AA125" s="85" cm="1">
        <f t="array" ref="AA125">AA123*e_taxrate_BE</f>
        <v>0</v>
      </c>
      <c r="AB125" s="85" cm="1">
        <f t="array" ref="AB125">AB123*e_taxrate_BE</f>
        <v>0</v>
      </c>
      <c r="AC125" s="85" cm="1">
        <f t="array" ref="AC125">AC123*e_taxrate_BE</f>
        <v>0</v>
      </c>
      <c r="AD125" s="85" cm="1">
        <f t="array" ref="AD125">AD123*e_taxrate_BE</f>
        <v>0</v>
      </c>
      <c r="AE125" s="85" cm="1">
        <f t="array" ref="AE125">AE123*e_taxrate_BE</f>
        <v>0</v>
      </c>
      <c r="AF125" s="85" cm="1">
        <f t="array" ref="AF125">AF123*e_taxrate_BE</f>
        <v>0</v>
      </c>
      <c r="AG125" s="85" cm="1">
        <f t="array" ref="AG125">AG123*e_taxrate_BE</f>
        <v>0</v>
      </c>
      <c r="AH125" s="85" cm="1">
        <f t="array" ref="AH125">AH123*e_taxrate_BE</f>
        <v>0</v>
      </c>
      <c r="AI125" s="233" cm="1">
        <f t="array" ref="AI125">AI123*e_taxrate_BE</f>
        <v>0</v>
      </c>
    </row>
    <row r="126" spans="2:35" x14ac:dyDescent="0.2">
      <c r="B126" s="39" t="s">
        <v>456</v>
      </c>
      <c r="C126" s="9"/>
      <c r="D126" s="9"/>
      <c r="E126" s="231">
        <f>-E80+E121</f>
        <v>0</v>
      </c>
      <c r="F126" s="231">
        <f>IF(F124&gt;0,F124-F125,F124)</f>
        <v>0</v>
      </c>
      <c r="G126" s="231">
        <f t="shared" ref="G126:AI126" si="7">IF(G124&gt;0,G124-G125,G124)</f>
        <v>0</v>
      </c>
      <c r="H126" s="231">
        <f t="shared" si="7"/>
        <v>0</v>
      </c>
      <c r="I126" s="231">
        <f t="shared" si="7"/>
        <v>0</v>
      </c>
      <c r="J126" s="231">
        <f t="shared" si="7"/>
        <v>0</v>
      </c>
      <c r="K126" s="231">
        <f t="shared" si="7"/>
        <v>0</v>
      </c>
      <c r="L126" s="231">
        <f t="shared" si="7"/>
        <v>0</v>
      </c>
      <c r="M126" s="231">
        <f t="shared" si="7"/>
        <v>0</v>
      </c>
      <c r="N126" s="231">
        <f t="shared" si="7"/>
        <v>0</v>
      </c>
      <c r="O126" s="231">
        <f t="shared" si="7"/>
        <v>0</v>
      </c>
      <c r="P126" s="231">
        <f t="shared" si="7"/>
        <v>0</v>
      </c>
      <c r="Q126" s="231">
        <f t="shared" si="7"/>
        <v>0</v>
      </c>
      <c r="R126" s="231">
        <f t="shared" si="7"/>
        <v>0</v>
      </c>
      <c r="S126" s="231">
        <f t="shared" si="7"/>
        <v>0</v>
      </c>
      <c r="T126" s="231">
        <f t="shared" si="7"/>
        <v>0</v>
      </c>
      <c r="U126" s="231">
        <f t="shared" si="7"/>
        <v>0</v>
      </c>
      <c r="V126" s="231">
        <f t="shared" si="7"/>
        <v>0</v>
      </c>
      <c r="W126" s="231">
        <f t="shared" si="7"/>
        <v>0</v>
      </c>
      <c r="X126" s="231">
        <f t="shared" si="7"/>
        <v>0</v>
      </c>
      <c r="Y126" s="231">
        <f t="shared" si="7"/>
        <v>0</v>
      </c>
      <c r="Z126" s="231">
        <f t="shared" si="7"/>
        <v>0</v>
      </c>
      <c r="AA126" s="231">
        <f t="shared" si="7"/>
        <v>0</v>
      </c>
      <c r="AB126" s="231">
        <f t="shared" si="7"/>
        <v>0</v>
      </c>
      <c r="AC126" s="231">
        <f t="shared" si="7"/>
        <v>0</v>
      </c>
      <c r="AD126" s="231">
        <f t="shared" si="7"/>
        <v>0</v>
      </c>
      <c r="AE126" s="231">
        <f t="shared" si="7"/>
        <v>0</v>
      </c>
      <c r="AF126" s="231">
        <f t="shared" si="7"/>
        <v>0</v>
      </c>
      <c r="AG126" s="231">
        <f t="shared" si="7"/>
        <v>0</v>
      </c>
      <c r="AH126" s="231">
        <f t="shared" si="7"/>
        <v>0</v>
      </c>
      <c r="AI126" s="232">
        <f t="shared" si="7"/>
        <v>0</v>
      </c>
    </row>
    <row r="127" spans="2:35" x14ac:dyDescent="0.2">
      <c r="B127" s="40" t="s">
        <v>457</v>
      </c>
      <c r="C127" s="11"/>
      <c r="D127" s="7"/>
      <c r="E127" s="85"/>
      <c r="F127" s="85" cm="1">
        <f t="array" ref="F127">F126/(1+e_WACC)^F79</f>
        <v>0</v>
      </c>
      <c r="G127" s="85" cm="1">
        <f t="array" ref="G127">G126/(1+e_WACC)^G79</f>
        <v>0</v>
      </c>
      <c r="H127" s="85" cm="1">
        <f t="array" ref="H127">H126/(1+e_WACC)^H79</f>
        <v>0</v>
      </c>
      <c r="I127" s="85" cm="1">
        <f t="array" ref="I127">I126/(1+e_WACC)^I79</f>
        <v>0</v>
      </c>
      <c r="J127" s="85" cm="1">
        <f t="array" ref="J127">J126/(1+e_WACC)^J79</f>
        <v>0</v>
      </c>
      <c r="K127" s="85" cm="1">
        <f t="array" ref="K127">K126/(1+e_WACC)^K79</f>
        <v>0</v>
      </c>
      <c r="L127" s="85" cm="1">
        <f t="array" ref="L127">L126/(1+e_WACC)^L79</f>
        <v>0</v>
      </c>
      <c r="M127" s="85" cm="1">
        <f t="array" ref="M127">M126/(1+e_WACC)^M79</f>
        <v>0</v>
      </c>
      <c r="N127" s="85" cm="1">
        <f t="array" ref="N127">N126/(1+e_WACC)^N79</f>
        <v>0</v>
      </c>
      <c r="O127" s="85" cm="1">
        <f t="array" ref="O127">O126/(1+e_WACC)^O79</f>
        <v>0</v>
      </c>
      <c r="P127" s="85" cm="1">
        <f t="array" ref="P127">P126/(1+e_WACC)^P79</f>
        <v>0</v>
      </c>
      <c r="Q127" s="85" cm="1">
        <f t="array" ref="Q127">Q126/(1+e_WACC)^Q79</f>
        <v>0</v>
      </c>
      <c r="R127" s="85" cm="1">
        <f t="array" ref="R127">R126/(1+e_WACC)^R79</f>
        <v>0</v>
      </c>
      <c r="S127" s="85" cm="1">
        <f t="array" ref="S127">S126/(1+e_WACC)^S79</f>
        <v>0</v>
      </c>
      <c r="T127" s="85" cm="1">
        <f t="array" ref="T127">T126/(1+e_WACC)^T79</f>
        <v>0</v>
      </c>
      <c r="U127" s="85" cm="1">
        <f t="array" ref="U127">U126/(1+e_WACC)^U79</f>
        <v>0</v>
      </c>
      <c r="V127" s="85" cm="1">
        <f t="array" ref="V127">V126/(1+e_WACC)^V79</f>
        <v>0</v>
      </c>
      <c r="W127" s="85" cm="1">
        <f t="array" ref="W127">W126/(1+e_WACC)^W79</f>
        <v>0</v>
      </c>
      <c r="X127" s="85" cm="1">
        <f t="array" ref="X127">X126/(1+e_WACC)^X79</f>
        <v>0</v>
      </c>
      <c r="Y127" s="85" cm="1">
        <f t="array" ref="Y127">Y126/(1+e_WACC)^Y79</f>
        <v>0</v>
      </c>
      <c r="Z127" s="85" cm="1">
        <f t="array" ref="Z127">Z126/(1+e_WACC)^Z79</f>
        <v>0</v>
      </c>
      <c r="AA127" s="85" cm="1">
        <f t="array" ref="AA127">AA126/(1+e_WACC)^AA79</f>
        <v>0</v>
      </c>
      <c r="AB127" s="85" cm="1">
        <f t="array" ref="AB127">AB126/(1+e_WACC)^AB79</f>
        <v>0</v>
      </c>
      <c r="AC127" s="85" cm="1">
        <f t="array" ref="AC127">AC126/(1+e_WACC)^AC79</f>
        <v>0</v>
      </c>
      <c r="AD127" s="85" cm="1">
        <f t="array" ref="AD127">AD126/(1+e_WACC)^AD79</f>
        <v>0</v>
      </c>
      <c r="AE127" s="85" cm="1">
        <f t="array" ref="AE127">AE126/(1+e_WACC)^AE79</f>
        <v>0</v>
      </c>
      <c r="AF127" s="85" cm="1">
        <f t="array" ref="AF127">AF126/(1+e_WACC)^AF79</f>
        <v>0</v>
      </c>
      <c r="AG127" s="85" cm="1">
        <f t="array" ref="AG127">AG126/(1+e_WACC)^AG79</f>
        <v>0</v>
      </c>
      <c r="AH127" s="85" cm="1">
        <f t="array" ref="AH127">AH126/(1+e_WACC)^AH79</f>
        <v>0</v>
      </c>
      <c r="AI127" s="233" cm="1">
        <f t="array" ref="AI127">AI126/(1+e_WACC)^AI79</f>
        <v>0</v>
      </c>
    </row>
    <row r="128" spans="2:35" x14ac:dyDescent="0.2">
      <c r="B128" s="39" t="s">
        <v>458</v>
      </c>
      <c r="C128" s="9"/>
      <c r="E128" s="226"/>
      <c r="F128" s="226">
        <f>E126+F126</f>
        <v>0</v>
      </c>
      <c r="G128" s="226">
        <f>F128+G126</f>
        <v>0</v>
      </c>
      <c r="H128" s="226">
        <f>G128+H126</f>
        <v>0</v>
      </c>
      <c r="I128" s="226">
        <f t="shared" ref="I128:AI129" si="8">H128+I126</f>
        <v>0</v>
      </c>
      <c r="J128" s="226">
        <f t="shared" si="8"/>
        <v>0</v>
      </c>
      <c r="K128" s="226">
        <f t="shared" si="8"/>
        <v>0</v>
      </c>
      <c r="L128" s="226">
        <f t="shared" si="8"/>
        <v>0</v>
      </c>
      <c r="M128" s="226">
        <f t="shared" si="8"/>
        <v>0</v>
      </c>
      <c r="N128" s="226">
        <f t="shared" si="8"/>
        <v>0</v>
      </c>
      <c r="O128" s="226">
        <f t="shared" si="8"/>
        <v>0</v>
      </c>
      <c r="P128" s="226">
        <f t="shared" si="8"/>
        <v>0</v>
      </c>
      <c r="Q128" s="226">
        <f t="shared" si="8"/>
        <v>0</v>
      </c>
      <c r="R128" s="226">
        <f t="shared" si="8"/>
        <v>0</v>
      </c>
      <c r="S128" s="226">
        <f t="shared" si="8"/>
        <v>0</v>
      </c>
      <c r="T128" s="226">
        <f t="shared" si="8"/>
        <v>0</v>
      </c>
      <c r="U128" s="226">
        <f t="shared" si="8"/>
        <v>0</v>
      </c>
      <c r="V128" s="226">
        <f t="shared" si="8"/>
        <v>0</v>
      </c>
      <c r="W128" s="226">
        <f t="shared" si="8"/>
        <v>0</v>
      </c>
      <c r="X128" s="226">
        <f t="shared" si="8"/>
        <v>0</v>
      </c>
      <c r="Y128" s="226">
        <f t="shared" si="8"/>
        <v>0</v>
      </c>
      <c r="Z128" s="226">
        <f t="shared" si="8"/>
        <v>0</v>
      </c>
      <c r="AA128" s="226">
        <f t="shared" si="8"/>
        <v>0</v>
      </c>
      <c r="AB128" s="226">
        <f t="shared" si="8"/>
        <v>0</v>
      </c>
      <c r="AC128" s="226">
        <f t="shared" si="8"/>
        <v>0</v>
      </c>
      <c r="AD128" s="226">
        <f t="shared" si="8"/>
        <v>0</v>
      </c>
      <c r="AE128" s="226">
        <f t="shared" si="8"/>
        <v>0</v>
      </c>
      <c r="AF128" s="226">
        <f t="shared" si="8"/>
        <v>0</v>
      </c>
      <c r="AG128" s="226">
        <f t="shared" si="8"/>
        <v>0</v>
      </c>
      <c r="AH128" s="226">
        <f t="shared" si="8"/>
        <v>0</v>
      </c>
      <c r="AI128" s="228">
        <f t="shared" si="8"/>
        <v>0</v>
      </c>
    </row>
    <row r="129" spans="2:35" x14ac:dyDescent="0.2">
      <c r="B129" s="39" t="s">
        <v>459</v>
      </c>
      <c r="C129" s="9"/>
      <c r="E129" s="226"/>
      <c r="F129" s="226">
        <f>E126+F127</f>
        <v>0</v>
      </c>
      <c r="G129" s="226">
        <f>F129+G127</f>
        <v>0</v>
      </c>
      <c r="H129" s="226">
        <f>G129+H127</f>
        <v>0</v>
      </c>
      <c r="I129" s="226">
        <f t="shared" si="8"/>
        <v>0</v>
      </c>
      <c r="J129" s="226">
        <f t="shared" si="8"/>
        <v>0</v>
      </c>
      <c r="K129" s="226">
        <f t="shared" si="8"/>
        <v>0</v>
      </c>
      <c r="L129" s="226">
        <f t="shared" si="8"/>
        <v>0</v>
      </c>
      <c r="M129" s="226">
        <f t="shared" si="8"/>
        <v>0</v>
      </c>
      <c r="N129" s="226">
        <f t="shared" si="8"/>
        <v>0</v>
      </c>
      <c r="O129" s="226">
        <f t="shared" si="8"/>
        <v>0</v>
      </c>
      <c r="P129" s="226">
        <f t="shared" si="8"/>
        <v>0</v>
      </c>
      <c r="Q129" s="226">
        <f t="shared" si="8"/>
        <v>0</v>
      </c>
      <c r="R129" s="226">
        <f t="shared" si="8"/>
        <v>0</v>
      </c>
      <c r="S129" s="226">
        <f t="shared" si="8"/>
        <v>0</v>
      </c>
      <c r="T129" s="226">
        <f t="shared" si="8"/>
        <v>0</v>
      </c>
      <c r="U129" s="226">
        <f t="shared" si="8"/>
        <v>0</v>
      </c>
      <c r="V129" s="226">
        <f t="shared" si="8"/>
        <v>0</v>
      </c>
      <c r="W129" s="226">
        <f t="shared" si="8"/>
        <v>0</v>
      </c>
      <c r="X129" s="226">
        <f t="shared" si="8"/>
        <v>0</v>
      </c>
      <c r="Y129" s="226">
        <f t="shared" si="8"/>
        <v>0</v>
      </c>
      <c r="Z129" s="226">
        <f t="shared" si="8"/>
        <v>0</v>
      </c>
      <c r="AA129" s="226">
        <f t="shared" si="8"/>
        <v>0</v>
      </c>
      <c r="AB129" s="226">
        <f t="shared" si="8"/>
        <v>0</v>
      </c>
      <c r="AC129" s="226">
        <f t="shared" si="8"/>
        <v>0</v>
      </c>
      <c r="AD129" s="226">
        <f t="shared" si="8"/>
        <v>0</v>
      </c>
      <c r="AE129" s="226">
        <f t="shared" si="8"/>
        <v>0</v>
      </c>
      <c r="AF129" s="226">
        <f t="shared" si="8"/>
        <v>0</v>
      </c>
      <c r="AG129" s="226">
        <f t="shared" si="8"/>
        <v>0</v>
      </c>
      <c r="AH129" s="226">
        <f t="shared" si="8"/>
        <v>0</v>
      </c>
      <c r="AI129" s="228">
        <f t="shared" si="8"/>
        <v>0</v>
      </c>
    </row>
    <row r="130" spans="2:35" x14ac:dyDescent="0.2">
      <c r="B130" s="39" t="s">
        <v>171</v>
      </c>
      <c r="C130" s="9"/>
      <c r="F130" s="1" t="e">
        <f>IF(F128&lt;0,1,-E126/F126)</f>
        <v>#DIV/0!</v>
      </c>
      <c r="G130" s="1" t="e">
        <f>IF(G128&lt;0,1,-F128/G126)</f>
        <v>#DIV/0!</v>
      </c>
      <c r="H130" s="1" t="e">
        <f>IF(H128&lt;0,1,-G128/H126)</f>
        <v>#DIV/0!</v>
      </c>
      <c r="I130" s="1" t="e">
        <f t="shared" ref="I130:AI131" si="9">IF(I128&lt;0,1,-H128/I126)</f>
        <v>#DIV/0!</v>
      </c>
      <c r="J130" s="1" t="e">
        <f t="shared" si="9"/>
        <v>#DIV/0!</v>
      </c>
      <c r="K130" s="1" t="e">
        <f t="shared" si="9"/>
        <v>#DIV/0!</v>
      </c>
      <c r="L130" s="1" t="e">
        <f t="shared" si="9"/>
        <v>#DIV/0!</v>
      </c>
      <c r="M130" s="1" t="e">
        <f t="shared" si="9"/>
        <v>#DIV/0!</v>
      </c>
      <c r="N130" s="1" t="e">
        <f t="shared" si="9"/>
        <v>#DIV/0!</v>
      </c>
      <c r="O130" s="1" t="e">
        <f t="shared" si="9"/>
        <v>#DIV/0!</v>
      </c>
      <c r="P130" s="1" t="e">
        <f t="shared" si="9"/>
        <v>#DIV/0!</v>
      </c>
      <c r="Q130" s="1" t="e">
        <f t="shared" si="9"/>
        <v>#DIV/0!</v>
      </c>
      <c r="R130" s="1" t="e">
        <f t="shared" si="9"/>
        <v>#DIV/0!</v>
      </c>
      <c r="S130" s="1" t="e">
        <f t="shared" si="9"/>
        <v>#DIV/0!</v>
      </c>
      <c r="T130" s="1" t="e">
        <f t="shared" si="9"/>
        <v>#DIV/0!</v>
      </c>
      <c r="U130" s="1" t="e">
        <f t="shared" si="9"/>
        <v>#DIV/0!</v>
      </c>
      <c r="V130" s="1" t="e">
        <f t="shared" si="9"/>
        <v>#DIV/0!</v>
      </c>
      <c r="W130" s="1" t="e">
        <f t="shared" si="9"/>
        <v>#DIV/0!</v>
      </c>
      <c r="X130" s="1" t="e">
        <f t="shared" si="9"/>
        <v>#DIV/0!</v>
      </c>
      <c r="Y130" s="1" t="e">
        <f t="shared" si="9"/>
        <v>#DIV/0!</v>
      </c>
      <c r="Z130" s="1" t="e">
        <f t="shared" si="9"/>
        <v>#DIV/0!</v>
      </c>
      <c r="AA130" s="1" t="e">
        <f t="shared" si="9"/>
        <v>#DIV/0!</v>
      </c>
      <c r="AB130" s="1" t="e">
        <f t="shared" si="9"/>
        <v>#DIV/0!</v>
      </c>
      <c r="AC130" s="1" t="e">
        <f t="shared" si="9"/>
        <v>#DIV/0!</v>
      </c>
      <c r="AD130" s="1" t="e">
        <f t="shared" si="9"/>
        <v>#DIV/0!</v>
      </c>
      <c r="AE130" s="1" t="e">
        <f t="shared" si="9"/>
        <v>#DIV/0!</v>
      </c>
      <c r="AF130" s="1" t="e">
        <f t="shared" si="9"/>
        <v>#DIV/0!</v>
      </c>
      <c r="AG130" s="1" t="e">
        <f t="shared" si="9"/>
        <v>#DIV/0!</v>
      </c>
      <c r="AH130" s="1" t="e">
        <f t="shared" si="9"/>
        <v>#DIV/0!</v>
      </c>
      <c r="AI130" s="42" t="e">
        <f t="shared" si="9"/>
        <v>#DIV/0!</v>
      </c>
    </row>
    <row r="131" spans="2:35" x14ac:dyDescent="0.2">
      <c r="B131" s="40" t="s">
        <v>173</v>
      </c>
      <c r="C131" s="11"/>
      <c r="D131" s="7"/>
      <c r="E131" s="7"/>
      <c r="F131" s="7" t="e">
        <f>IF(F129&lt;0,1,-E126/F127)</f>
        <v>#DIV/0!</v>
      </c>
      <c r="G131" s="7" t="e">
        <f>IF(G129&lt;0,1,-F129/G127)</f>
        <v>#DIV/0!</v>
      </c>
      <c r="H131" s="7" t="e">
        <f>IF(H129&lt;0,1,-G129/H127)</f>
        <v>#DIV/0!</v>
      </c>
      <c r="I131" s="7" t="e">
        <f t="shared" si="9"/>
        <v>#DIV/0!</v>
      </c>
      <c r="J131" s="7" t="e">
        <f t="shared" si="9"/>
        <v>#DIV/0!</v>
      </c>
      <c r="K131" s="7" t="e">
        <f t="shared" si="9"/>
        <v>#DIV/0!</v>
      </c>
      <c r="L131" s="7" t="e">
        <f t="shared" si="9"/>
        <v>#DIV/0!</v>
      </c>
      <c r="M131" s="7" t="e">
        <f t="shared" si="9"/>
        <v>#DIV/0!</v>
      </c>
      <c r="N131" s="7" t="e">
        <f t="shared" si="9"/>
        <v>#DIV/0!</v>
      </c>
      <c r="O131" s="7" t="e">
        <f t="shared" si="9"/>
        <v>#DIV/0!</v>
      </c>
      <c r="P131" s="7" t="e">
        <f t="shared" si="9"/>
        <v>#DIV/0!</v>
      </c>
      <c r="Q131" s="7" t="e">
        <f t="shared" si="9"/>
        <v>#DIV/0!</v>
      </c>
      <c r="R131" s="7" t="e">
        <f t="shared" si="9"/>
        <v>#DIV/0!</v>
      </c>
      <c r="S131" s="7" t="e">
        <f t="shared" si="9"/>
        <v>#DIV/0!</v>
      </c>
      <c r="T131" s="7" t="e">
        <f t="shared" si="9"/>
        <v>#DIV/0!</v>
      </c>
      <c r="U131" s="7" t="e">
        <f t="shared" si="9"/>
        <v>#DIV/0!</v>
      </c>
      <c r="V131" s="7" t="e">
        <f t="shared" si="9"/>
        <v>#DIV/0!</v>
      </c>
      <c r="W131" s="7" t="e">
        <f t="shared" si="9"/>
        <v>#DIV/0!</v>
      </c>
      <c r="X131" s="7" t="e">
        <f t="shared" si="9"/>
        <v>#DIV/0!</v>
      </c>
      <c r="Y131" s="7" t="e">
        <f t="shared" si="9"/>
        <v>#DIV/0!</v>
      </c>
      <c r="Z131" s="7" t="e">
        <f t="shared" si="9"/>
        <v>#DIV/0!</v>
      </c>
      <c r="AA131" s="7" t="e">
        <f t="shared" si="9"/>
        <v>#DIV/0!</v>
      </c>
      <c r="AB131" s="7" t="e">
        <f t="shared" si="9"/>
        <v>#DIV/0!</v>
      </c>
      <c r="AC131" s="7" t="e">
        <f t="shared" si="9"/>
        <v>#DIV/0!</v>
      </c>
      <c r="AD131" s="7" t="e">
        <f t="shared" si="9"/>
        <v>#DIV/0!</v>
      </c>
      <c r="AE131" s="7" t="e">
        <f t="shared" si="9"/>
        <v>#DIV/0!</v>
      </c>
      <c r="AF131" s="7" t="e">
        <f t="shared" si="9"/>
        <v>#DIV/0!</v>
      </c>
      <c r="AG131" s="7" t="e">
        <f t="shared" si="9"/>
        <v>#DIV/0!</v>
      </c>
      <c r="AH131" s="7" t="e">
        <f t="shared" si="9"/>
        <v>#DIV/0!</v>
      </c>
      <c r="AI131" s="182" t="e">
        <f t="shared" si="9"/>
        <v>#DIV/0!</v>
      </c>
    </row>
    <row r="134" spans="2:35" x14ac:dyDescent="0.2">
      <c r="B134" s="10" t="s">
        <v>460</v>
      </c>
      <c r="C134" s="200" t="s">
        <v>136</v>
      </c>
      <c r="D134" s="207" t="s">
        <v>401</v>
      </c>
    </row>
    <row r="135" spans="2:35" x14ac:dyDescent="0.2">
      <c r="B135" s="41" t="s">
        <v>168</v>
      </c>
      <c r="C135" s="2" t="s">
        <v>164</v>
      </c>
      <c r="D135" s="369" cm="1">
        <f t="array" ref="D135">NPV(e_WACC,F126:AI126)+E126</f>
        <v>0</v>
      </c>
    </row>
    <row r="136" spans="2:35" x14ac:dyDescent="0.2">
      <c r="B136" s="9" t="s">
        <v>169</v>
      </c>
      <c r="C136" s="2" t="s">
        <v>170</v>
      </c>
      <c r="D136" s="86" t="e">
        <f>IRR(E126:AI126)</f>
        <v>#NUM!</v>
      </c>
    </row>
    <row r="137" spans="2:35" x14ac:dyDescent="0.2">
      <c r="B137" s="9" t="s">
        <v>171</v>
      </c>
      <c r="C137" s="2" t="s">
        <v>172</v>
      </c>
      <c r="D137" s="87">
        <f>SUMIF(F130:AI130,"&gt;0")-SUMIF(F130:AI130,"&gt;1")</f>
        <v>0</v>
      </c>
    </row>
    <row r="138" spans="2:35" x14ac:dyDescent="0.2">
      <c r="B138" s="11" t="s">
        <v>173</v>
      </c>
      <c r="C138" s="123" t="s">
        <v>172</v>
      </c>
      <c r="D138" s="87">
        <f>SUMIF(F131:AI131,"&gt;0")-SUMIF(F131:AI131,"&gt;1")</f>
        <v>0</v>
      </c>
    </row>
    <row r="139" spans="2:35" x14ac:dyDescent="0.2">
      <c r="B139" s="62" t="s">
        <v>174</v>
      </c>
      <c r="C139" s="2" t="s">
        <v>166</v>
      </c>
      <c r="D139" s="369">
        <f>F86</f>
        <v>0</v>
      </c>
    </row>
    <row r="140" spans="2:35" x14ac:dyDescent="0.2">
      <c r="B140" s="20" t="s">
        <v>175</v>
      </c>
      <c r="C140" s="2" t="str">
        <f>'1. Pathway 1'!$C$143</f>
        <v>€/ton H2</v>
      </c>
      <c r="D140" s="370"/>
    </row>
    <row r="141" spans="2:35" x14ac:dyDescent="0.2">
      <c r="B141" s="88" t="s">
        <v>176</v>
      </c>
      <c r="C141" s="201" t="str">
        <f>'1. Pathway 1'!$C$144</f>
        <v>€/ton H2</v>
      </c>
      <c r="D141" s="371"/>
    </row>
    <row r="142" spans="2:35" x14ac:dyDescent="0.2">
      <c r="B142" s="132" t="s">
        <v>177</v>
      </c>
      <c r="C142" s="202" t="str">
        <f>'1. Pathway 1'!$C$145</f>
        <v>€/ton H2</v>
      </c>
      <c r="D142" s="372"/>
    </row>
    <row r="145" spans="2:8" x14ac:dyDescent="0.2">
      <c r="B145" s="209" t="s">
        <v>463</v>
      </c>
      <c r="C145" s="210"/>
      <c r="D145" s="210"/>
      <c r="E145" s="210"/>
      <c r="F145" s="210"/>
      <c r="G145" s="210"/>
      <c r="H145" s="212"/>
    </row>
    <row r="146" spans="2:8" x14ac:dyDescent="0.2">
      <c r="B146" s="373" t="s">
        <v>20</v>
      </c>
      <c r="C146" s="373" t="s">
        <v>147</v>
      </c>
      <c r="D146" s="373"/>
      <c r="E146" s="373" t="s">
        <v>136</v>
      </c>
      <c r="F146" s="373" t="s">
        <v>464</v>
      </c>
      <c r="G146" s="72" t="s">
        <v>415</v>
      </c>
      <c r="H146" s="214"/>
    </row>
    <row r="147" spans="2:8" x14ac:dyDescent="0.2">
      <c r="B147" s="374" t="s">
        <v>465</v>
      </c>
      <c r="C147" s="210"/>
      <c r="D147" s="210"/>
      <c r="E147" s="210"/>
      <c r="F147" s="210"/>
      <c r="G147" s="210"/>
      <c r="H147" s="212"/>
    </row>
    <row r="148" spans="2:8" x14ac:dyDescent="0.2">
      <c r="B148" s="77" t="s">
        <v>47</v>
      </c>
      <c r="C148" s="1" t="s">
        <v>470</v>
      </c>
      <c r="E148" s="1" t="str">
        <f>"kg CO2eq/" &amp; IF(Technology!$C$32="","FU",Technology!$C$32)</f>
        <v>kg CO2eq/ton H2</v>
      </c>
      <c r="F148" s="130"/>
      <c r="H148" s="42"/>
    </row>
    <row r="149" spans="2:8" x14ac:dyDescent="0.2">
      <c r="B149" s="77"/>
      <c r="C149" s="1" t="s">
        <v>466</v>
      </c>
      <c r="E149" s="1" t="str">
        <f>"kg CO2eq/" &amp; IF(Technology!$C$32="","FU",Technology!$C$32)</f>
        <v>kg CO2eq/ton H2</v>
      </c>
      <c r="F149" s="130"/>
      <c r="H149" s="42"/>
    </row>
    <row r="150" spans="2:8" x14ac:dyDescent="0.2">
      <c r="B150" s="77"/>
      <c r="C150" s="1" t="s">
        <v>211</v>
      </c>
      <c r="D150" s="1" t="s">
        <v>199</v>
      </c>
      <c r="E150" s="1" t="str">
        <f>"kg CO2eq/" &amp; IF(Technology!$C$32="","FU",Technology!$C$32)</f>
        <v>kg CO2eq/ton H2</v>
      </c>
      <c r="F150" s="130"/>
      <c r="H150" s="42"/>
    </row>
    <row r="151" spans="2:8" x14ac:dyDescent="0.2">
      <c r="B151" s="77"/>
      <c r="D151" s="1" t="s">
        <v>624</v>
      </c>
      <c r="E151" s="1" t="str">
        <f>"kg CO2eq/" &amp; IF(Technology!$C$32="","FU",Technology!$C$32)</f>
        <v>kg CO2eq/ton H2</v>
      </c>
      <c r="F151" s="130"/>
      <c r="H151" s="42"/>
    </row>
    <row r="152" spans="2:8" x14ac:dyDescent="0.2">
      <c r="B152" s="77"/>
      <c r="C152" s="1" t="s">
        <v>625</v>
      </c>
      <c r="E152" s="1" t="str">
        <f>"kg CO2eq/" &amp; IF(Technology!$C$32="","FU",Technology!$C$32)</f>
        <v>kg CO2eq/ton H2</v>
      </c>
      <c r="F152" s="130"/>
      <c r="H152" s="42"/>
    </row>
    <row r="153" spans="2:8" x14ac:dyDescent="0.2">
      <c r="B153" s="77"/>
      <c r="C153" s="1" t="s">
        <v>223</v>
      </c>
      <c r="E153" s="1" t="str">
        <f>"kg CO2eq/" &amp; IF(Technology!$C$32="","FU",Technology!$C$32)</f>
        <v>kg CO2eq/ton H2</v>
      </c>
      <c r="F153" s="130"/>
      <c r="H153" s="42"/>
    </row>
    <row r="154" spans="2:8" x14ac:dyDescent="0.2">
      <c r="B154" s="77"/>
      <c r="F154" s="130"/>
      <c r="H154" s="42"/>
    </row>
    <row r="155" spans="2:8" x14ac:dyDescent="0.2">
      <c r="B155" s="77" t="s">
        <v>47</v>
      </c>
      <c r="C155" s="1" t="s">
        <v>470</v>
      </c>
      <c r="E155" s="1" t="str">
        <f>"kg CO2eq/" &amp; IF(Technology!$C$32="","FU",Technology!$C$32)</f>
        <v>kg CO2eq/ton H2</v>
      </c>
      <c r="F155" s="130"/>
      <c r="H155" s="42"/>
    </row>
    <row r="156" spans="2:8" x14ac:dyDescent="0.2">
      <c r="B156" s="77"/>
      <c r="C156" s="1" t="s">
        <v>466</v>
      </c>
      <c r="E156" s="1" t="str">
        <f>"kg CO2eq/" &amp; IF(Technology!$C$32="","FU",Technology!$C$32)</f>
        <v>kg CO2eq/ton H2</v>
      </c>
      <c r="F156" s="130"/>
      <c r="H156" s="42"/>
    </row>
    <row r="157" spans="2:8" x14ac:dyDescent="0.2">
      <c r="B157" s="77"/>
      <c r="C157" s="1" t="s">
        <v>211</v>
      </c>
      <c r="D157" s="1" t="s">
        <v>151</v>
      </c>
      <c r="E157" s="1" t="str">
        <f>"kg CO2eq/" &amp; IF(Technology!$C$32="","FU",Technology!$C$32)</f>
        <v>kg CO2eq/ton H2</v>
      </c>
      <c r="F157" s="130"/>
      <c r="H157" s="42"/>
    </row>
    <row r="158" spans="2:8" x14ac:dyDescent="0.2">
      <c r="B158" s="77"/>
      <c r="D158" s="1" t="s">
        <v>624</v>
      </c>
      <c r="E158" s="1" t="str">
        <f>"kg CO2eq/" &amp; IF(Technology!$C$32="","FU",Technology!$C$32)</f>
        <v>kg CO2eq/ton H2</v>
      </c>
      <c r="F158" s="130"/>
      <c r="H158" s="42"/>
    </row>
    <row r="159" spans="2:8" x14ac:dyDescent="0.2">
      <c r="B159" s="77"/>
      <c r="C159" s="1" t="s">
        <v>625</v>
      </c>
      <c r="E159" s="1" t="str">
        <f>"kg CO2eq/" &amp; IF(Technology!$C$32="","FU",Technology!$C$32)</f>
        <v>kg CO2eq/ton H2</v>
      </c>
      <c r="F159" s="130"/>
      <c r="H159" s="42"/>
    </row>
    <row r="160" spans="2:8" x14ac:dyDescent="0.2">
      <c r="B160" s="77"/>
      <c r="C160" s="1" t="s">
        <v>223</v>
      </c>
      <c r="E160" s="1" t="str">
        <f>"kg CO2eq/" &amp; IF(Technology!$C$32="","FU",Technology!$C$32)</f>
        <v>kg CO2eq/ton H2</v>
      </c>
      <c r="F160" s="130"/>
      <c r="H160" s="42"/>
    </row>
    <row r="161" spans="2:8" x14ac:dyDescent="0.2">
      <c r="B161" s="77"/>
      <c r="F161" s="130"/>
      <c r="H161" s="42"/>
    </row>
    <row r="162" spans="2:8" x14ac:dyDescent="0.2">
      <c r="B162" s="72" t="s">
        <v>469</v>
      </c>
      <c r="C162" s="45"/>
      <c r="D162" s="45"/>
      <c r="E162" s="45"/>
      <c r="F162" s="216"/>
      <c r="G162" s="45"/>
      <c r="H162" s="214"/>
    </row>
    <row r="163" spans="2:8" x14ac:dyDescent="0.2">
      <c r="B163" s="77" t="s">
        <v>47</v>
      </c>
      <c r="C163" s="1" t="s">
        <v>470</v>
      </c>
      <c r="E163" s="1" t="str">
        <f>"kg CO2eq/" &amp; IF(Technology!$C$32="","FU",Technology!$C$32)</f>
        <v>kg CO2eq/ton H2</v>
      </c>
      <c r="F163" s="130"/>
      <c r="H163" s="42"/>
    </row>
    <row r="164" spans="2:8" x14ac:dyDescent="0.2">
      <c r="B164" s="77"/>
      <c r="C164" s="1" t="s">
        <v>466</v>
      </c>
      <c r="E164" s="1" t="str">
        <f>"kg CO2eq/" &amp; IF(Technology!$C$32="","FU",Technology!$C$32)</f>
        <v>kg CO2eq/ton H2</v>
      </c>
      <c r="F164" s="130"/>
      <c r="H164" s="42"/>
    </row>
    <row r="165" spans="2:8" x14ac:dyDescent="0.2">
      <c r="B165" s="77"/>
      <c r="C165" s="1" t="s">
        <v>211</v>
      </c>
      <c r="D165" s="1" t="s">
        <v>151</v>
      </c>
      <c r="E165" s="1" t="str">
        <f>"kg CO2eq/" &amp; IF(Technology!$C$32="","FU",Technology!$C$32)</f>
        <v>kg CO2eq/ton H2</v>
      </c>
      <c r="F165" s="130"/>
      <c r="H165" s="42"/>
    </row>
    <row r="166" spans="2:8" x14ac:dyDescent="0.2">
      <c r="B166" s="77"/>
      <c r="D166" s="1" t="s">
        <v>624</v>
      </c>
      <c r="E166" s="1" t="str">
        <f>"kg CO2eq/" &amp; IF(Technology!$C$32="","FU",Technology!$C$32)</f>
        <v>kg CO2eq/ton H2</v>
      </c>
      <c r="F166" s="130"/>
      <c r="H166" s="42"/>
    </row>
    <row r="167" spans="2:8" x14ac:dyDescent="0.2">
      <c r="B167" s="186"/>
      <c r="C167" s="7"/>
      <c r="D167" s="7"/>
      <c r="E167" s="7"/>
      <c r="F167" s="7"/>
      <c r="G167" s="7"/>
      <c r="H167" s="182"/>
    </row>
    <row r="171" spans="2:8" x14ac:dyDescent="0.2">
      <c r="B171" s="65" t="s">
        <v>146</v>
      </c>
      <c r="C171" s="189" t="s">
        <v>136</v>
      </c>
      <c r="D171" s="375" t="s">
        <v>401</v>
      </c>
    </row>
    <row r="172" spans="2:8" x14ac:dyDescent="0.2">
      <c r="B172" s="376" t="s">
        <v>178</v>
      </c>
      <c r="C172" s="184" t="str">
        <f>"ton CO2eq/" &amp; IF(Technology!$C$32="","FU",Technology!$C$32)</f>
        <v>ton CO2eq/ton H2</v>
      </c>
      <c r="D172" s="377"/>
    </row>
    <row r="173" spans="2:8" ht="13.8" x14ac:dyDescent="0.3">
      <c r="B173" s="183" t="s">
        <v>179</v>
      </c>
      <c r="C173" s="185" t="str">
        <f>"ton CO2eq avoided/" &amp; IF(Technology!$C$32="","FU",Technology!$C$32)</f>
        <v>ton CO2eq avoided/ton H2</v>
      </c>
      <c r="D173" s="378"/>
    </row>
    <row r="174" spans="2:8" x14ac:dyDescent="0.2">
      <c r="B174" s="376" t="s">
        <v>471</v>
      </c>
      <c r="C174" s="379" t="str">
        <f>'1. Pathway 1'!$C$175</f>
        <v>ton CO2eq/ton H2</v>
      </c>
      <c r="D174" s="377">
        <f>D172-D173</f>
        <v>0</v>
      </c>
    </row>
    <row r="175" spans="2:8" x14ac:dyDescent="0.2">
      <c r="B175" s="183"/>
      <c r="C175" s="185" t="str">
        <f>'1. Pathway 1'!$C$176</f>
        <v>ton CO2eq/yr</v>
      </c>
      <c r="D175" s="378"/>
    </row>
    <row r="176" spans="2:8" ht="13.8" x14ac:dyDescent="0.3">
      <c r="B176" s="76" t="s">
        <v>472</v>
      </c>
      <c r="C176" s="193" t="str">
        <f>'1. Pathway 1'!$C$177</f>
        <v>ton CO2eq/ton H2</v>
      </c>
      <c r="D176" s="256">
        <v>0</v>
      </c>
    </row>
    <row r="177" spans="1:4" x14ac:dyDescent="0.2">
      <c r="B177" s="183"/>
      <c r="C177" s="123" t="str">
        <f>'1. Pathway 1'!$C$178</f>
        <v>ton CO2eq/yr</v>
      </c>
      <c r="D177" s="257"/>
    </row>
    <row r="179" spans="1:4" x14ac:dyDescent="0.2">
      <c r="B179" s="117" t="s">
        <v>473</v>
      </c>
      <c r="C179" s="190" t="s">
        <v>136</v>
      </c>
      <c r="D179" s="380" t="s">
        <v>401</v>
      </c>
    </row>
    <row r="180" spans="1:4" x14ac:dyDescent="0.2">
      <c r="B180" s="116" t="s">
        <v>180</v>
      </c>
      <c r="C180" s="191" t="str">
        <f>'1. Pathway 1'!$C$181</f>
        <v>€/ton CO2eq avoided</v>
      </c>
      <c r="D180" s="381"/>
    </row>
    <row r="181" spans="1:4" ht="13.8" x14ac:dyDescent="0.3">
      <c r="B181" s="116" t="s">
        <v>626</v>
      </c>
      <c r="C181" s="191" t="str">
        <f>'1. Pathway 1'!$C$182</f>
        <v>MWh/ton CO2eq avoided</v>
      </c>
      <c r="D181" s="382"/>
    </row>
    <row r="183" spans="1:4" x14ac:dyDescent="0.2">
      <c r="B183" s="141"/>
    </row>
    <row r="184" spans="1:4" s="142" customFormat="1" x14ac:dyDescent="0.2">
      <c r="A184" s="1"/>
      <c r="B184" s="143" t="s">
        <v>476</v>
      </c>
      <c r="C184" s="144"/>
      <c r="D184" s="144"/>
    </row>
    <row r="195" spans="1:4" s="142" customFormat="1" x14ac:dyDescent="0.2">
      <c r="A195" s="1"/>
      <c r="B195" s="143" t="s">
        <v>487</v>
      </c>
      <c r="C195" s="144"/>
      <c r="D195" s="144"/>
    </row>
    <row r="205" spans="1:4" x14ac:dyDescent="0.2">
      <c r="B205" s="141"/>
    </row>
    <row r="207" spans="1:4" s="142" customFormat="1" x14ac:dyDescent="0.2">
      <c r="A207" s="1"/>
      <c r="B207" s="143" t="s">
        <v>488</v>
      </c>
      <c r="C207" s="144"/>
      <c r="D207" s="144"/>
    </row>
  </sheetData>
  <mergeCells count="1">
    <mergeCell ref="E78:AI78"/>
  </mergeCells>
  <dataValidations count="2">
    <dataValidation allowBlank="1" showInputMessage="1" showErrorMessage="1" prompt="The total manufacturing cost is the sum of the total OPEX for one year." sqref="B139" xr:uid="{F66E657B-5B58-43A9-BBDD-34180C9FC2AB}"/>
    <dataValidation allowBlank="1" showInputMessage="1" showErrorMessage="1" prompt="The levelized cost of product is calculated by dividing the sum of all the costs over the lifetime by the sum of the product produced over the lifetime. " sqref="B140" xr:uid="{A3518FAC-35AD-4B6C-B56B-0C5F97DF383E}"/>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3A40C-E6A0-4785-81E2-2E54741E5BE1}">
  <sheetPr codeName="Sheet14"/>
  <dimension ref="A1:AI207"/>
  <sheetViews>
    <sheetView workbookViewId="0">
      <pane xSplit="1" topLeftCell="B1" activePane="topRight" state="frozen"/>
      <selection activeCell="B4" sqref="B4"/>
      <selection pane="topRight"/>
    </sheetView>
  </sheetViews>
  <sheetFormatPr defaultColWidth="9.33203125" defaultRowHeight="11.4" x14ac:dyDescent="0.2"/>
  <cols>
    <col min="1" max="1" width="30.6640625" style="1" customWidth="1"/>
    <col min="2" max="2" width="40.6640625" style="1" customWidth="1"/>
    <col min="3" max="3" width="23" style="1" customWidth="1"/>
    <col min="4" max="4" width="40.6640625" style="1" customWidth="1"/>
    <col min="5" max="113" width="20.6640625" style="1" customWidth="1"/>
    <col min="114" max="16384" width="9.33203125" style="1"/>
  </cols>
  <sheetData>
    <row r="1" spans="1:10" ht="144" customHeight="1" x14ac:dyDescent="0.2"/>
    <row r="4" spans="1:10" ht="19.8" x14ac:dyDescent="0.3">
      <c r="B4" s="43" t="str">
        <f>'Pathway definition and results'!G13</f>
        <v>3. Pathway 3</v>
      </c>
    </row>
    <row r="6" spans="1:10" s="14" customFormat="1" x14ac:dyDescent="0.2">
      <c r="A6" s="1"/>
      <c r="B6" s="17" t="s">
        <v>408</v>
      </c>
    </row>
    <row r="8" spans="1:10" x14ac:dyDescent="0.2">
      <c r="B8" s="6"/>
    </row>
    <row r="9" spans="1:10" ht="45" customHeight="1" x14ac:dyDescent="0.2">
      <c r="B9" s="12"/>
      <c r="C9" s="12"/>
      <c r="D9" s="12"/>
      <c r="E9" s="12"/>
      <c r="F9" s="12"/>
      <c r="G9" s="12"/>
      <c r="H9" s="12"/>
      <c r="I9" s="12"/>
      <c r="J9" s="12"/>
    </row>
    <row r="15" spans="1:10" ht="14.4" x14ac:dyDescent="0.3">
      <c r="J15"/>
    </row>
    <row r="17" spans="2:10" ht="14.4" x14ac:dyDescent="0.3">
      <c r="F17"/>
    </row>
    <row r="30" spans="2:10" x14ac:dyDescent="0.2">
      <c r="B30" s="238" t="s">
        <v>412</v>
      </c>
      <c r="C30" s="239"/>
      <c r="D30" s="239"/>
      <c r="E30" s="239"/>
      <c r="F30" s="239"/>
      <c r="G30" s="239"/>
      <c r="H30" s="240"/>
      <c r="I30" s="240"/>
      <c r="J30" s="358"/>
    </row>
    <row r="31" spans="2:10" x14ac:dyDescent="0.2">
      <c r="B31" s="24" t="s">
        <v>20</v>
      </c>
      <c r="C31" s="24" t="s">
        <v>147</v>
      </c>
      <c r="D31" s="25"/>
      <c r="E31" s="26" t="s">
        <v>401</v>
      </c>
      <c r="F31" s="27" t="s">
        <v>413</v>
      </c>
      <c r="G31" s="26" t="s">
        <v>401</v>
      </c>
      <c r="H31" s="27" t="s">
        <v>414</v>
      </c>
      <c r="I31" s="359" t="s">
        <v>415</v>
      </c>
      <c r="J31" s="360"/>
    </row>
    <row r="32" spans="2:10" x14ac:dyDescent="0.2">
      <c r="B32" s="28"/>
      <c r="C32" s="28"/>
      <c r="D32" s="241"/>
      <c r="E32" s="242"/>
      <c r="F32" s="243"/>
      <c r="G32" s="14"/>
      <c r="H32" s="241"/>
      <c r="I32" s="14"/>
      <c r="J32" s="249"/>
    </row>
    <row r="33" spans="2:10" x14ac:dyDescent="0.2">
      <c r="B33" s="29" t="s">
        <v>47</v>
      </c>
      <c r="C33" s="30" t="s">
        <v>148</v>
      </c>
      <c r="D33" s="23" t="s">
        <v>470</v>
      </c>
      <c r="E33" s="31"/>
      <c r="F33" s="32" t="s">
        <v>154</v>
      </c>
      <c r="H33" s="32" t="str">
        <f>"kg/" &amp; IF(Technology!$C$32="","FU",Technology!$C$32)</f>
        <v>kg/ton H2</v>
      </c>
      <c r="J33" s="42"/>
    </row>
    <row r="34" spans="2:10" x14ac:dyDescent="0.2">
      <c r="B34" s="28"/>
      <c r="C34" s="30"/>
      <c r="D34" s="23" t="s">
        <v>466</v>
      </c>
      <c r="E34" s="33"/>
      <c r="F34" s="32" t="s">
        <v>154</v>
      </c>
      <c r="H34" s="32" t="str">
        <f>"kg/" &amp; IF(Technology!$C$32="","FU",Technology!$C$32)</f>
        <v>kg/ton H2</v>
      </c>
      <c r="J34" s="42"/>
    </row>
    <row r="35" spans="2:10" x14ac:dyDescent="0.2">
      <c r="B35" s="28"/>
      <c r="C35" s="30"/>
      <c r="D35" s="23"/>
      <c r="E35" s="33"/>
      <c r="F35" s="32"/>
      <c r="H35" s="32"/>
      <c r="J35" s="42"/>
    </row>
    <row r="36" spans="2:10" x14ac:dyDescent="0.2">
      <c r="B36" s="28"/>
      <c r="C36" s="30"/>
      <c r="D36" s="23" t="s">
        <v>615</v>
      </c>
      <c r="E36" s="33"/>
      <c r="F36" s="32" t="s">
        <v>138</v>
      </c>
      <c r="H36" s="32" t="str">
        <f>"kWh/" &amp; IF(Technology!$C$32="","FU",Technology!$C$32)</f>
        <v>kWh/ton H2</v>
      </c>
      <c r="J36" s="42"/>
    </row>
    <row r="37" spans="2:10" x14ac:dyDescent="0.2">
      <c r="B37" s="28"/>
      <c r="C37" s="30"/>
      <c r="D37" s="23" t="s">
        <v>616</v>
      </c>
      <c r="E37" s="33"/>
      <c r="F37" s="32" t="s">
        <v>138</v>
      </c>
      <c r="H37" s="32" t="str">
        <f>"kWh/" &amp; IF(Technology!$C$32="","FU",Technology!$C$32)</f>
        <v>kWh/ton H2</v>
      </c>
      <c r="J37" s="42"/>
    </row>
    <row r="38" spans="2:10" x14ac:dyDescent="0.2">
      <c r="B38" s="28"/>
      <c r="C38" s="30"/>
      <c r="D38" s="23" t="s">
        <v>617</v>
      </c>
      <c r="E38" s="33"/>
      <c r="F38" s="32" t="s">
        <v>138</v>
      </c>
      <c r="H38" s="32" t="str">
        <f>"kWh/" &amp; IF(Technology!$C$32="","FU",Technology!$C$32)</f>
        <v>kWh/ton H2</v>
      </c>
      <c r="J38" s="42"/>
    </row>
    <row r="39" spans="2:10" x14ac:dyDescent="0.2">
      <c r="B39" s="28"/>
      <c r="C39" s="30"/>
      <c r="D39" s="23" t="s">
        <v>618</v>
      </c>
      <c r="E39" s="33"/>
      <c r="F39" s="32" t="s">
        <v>138</v>
      </c>
      <c r="H39" s="32" t="str">
        <f>"kWh/" &amp; IF(Technology!$C$32="","FU",Technology!$C$32)</f>
        <v>kWh/ton H2</v>
      </c>
      <c r="J39" s="42"/>
    </row>
    <row r="40" spans="2:10" x14ac:dyDescent="0.2">
      <c r="B40" s="28"/>
      <c r="C40" s="30"/>
      <c r="D40" s="23"/>
      <c r="E40" s="33"/>
      <c r="F40" s="32"/>
      <c r="H40" s="32"/>
      <c r="J40" s="42"/>
    </row>
    <row r="41" spans="2:10" x14ac:dyDescent="0.2">
      <c r="B41" s="28"/>
      <c r="C41" s="30"/>
      <c r="D41" s="23" t="s">
        <v>619</v>
      </c>
      <c r="E41" s="33"/>
      <c r="F41" s="32" t="s">
        <v>620</v>
      </c>
      <c r="H41" s="32" t="str">
        <f>"m²/" &amp; IF(Technology!$C$32="","FU",Technology!$C$32)</f>
        <v>m²/ton H2</v>
      </c>
      <c r="J41" s="42"/>
    </row>
    <row r="42" spans="2:10" x14ac:dyDescent="0.2">
      <c r="B42" s="28"/>
      <c r="C42" s="30"/>
      <c r="D42" s="23" t="s">
        <v>621</v>
      </c>
      <c r="E42" s="33"/>
      <c r="F42" s="32" t="s">
        <v>67</v>
      </c>
      <c r="H42" s="32" t="s">
        <v>67</v>
      </c>
      <c r="J42" s="42"/>
    </row>
    <row r="43" spans="2:10" x14ac:dyDescent="0.2">
      <c r="B43" s="28"/>
      <c r="C43" s="30"/>
      <c r="D43" s="23"/>
      <c r="E43" s="33"/>
      <c r="F43" s="32"/>
      <c r="H43" s="32"/>
      <c r="J43" s="42"/>
    </row>
    <row r="44" spans="2:10" x14ac:dyDescent="0.2">
      <c r="B44" s="28"/>
      <c r="C44" s="30" t="s">
        <v>152</v>
      </c>
      <c r="D44" s="23" t="s">
        <v>622</v>
      </c>
      <c r="E44" s="33"/>
      <c r="F44" s="32" t="s">
        <v>154</v>
      </c>
      <c r="H44" s="32" t="str">
        <f>"kg/" &amp; IF(Technology!$C$32="","FU",Technology!$C$32)</f>
        <v>kg/ton H2</v>
      </c>
      <c r="J44" s="42"/>
    </row>
    <row r="45" spans="2:10" x14ac:dyDescent="0.2">
      <c r="B45" s="28"/>
      <c r="C45" s="30"/>
      <c r="D45" s="23" t="s">
        <v>466</v>
      </c>
      <c r="E45" s="33"/>
      <c r="F45" s="32" t="s">
        <v>154</v>
      </c>
      <c r="H45" s="32" t="str">
        <f>"kg/" &amp; IF(Technology!$C$32="","FU",Technology!$C$32)</f>
        <v>kg/ton H2</v>
      </c>
      <c r="J45" s="42"/>
    </row>
    <row r="46" spans="2:10" x14ac:dyDescent="0.2">
      <c r="B46" s="28"/>
      <c r="C46" s="30"/>
      <c r="D46" s="23" t="s">
        <v>242</v>
      </c>
      <c r="E46" s="33"/>
      <c r="F46" s="32" t="s">
        <v>154</v>
      </c>
      <c r="H46" s="32" t="str">
        <f>"kg/" &amp; IF(Technology!$C$32="","FU",Technology!$C$32)</f>
        <v>kg/ton H2</v>
      </c>
      <c r="J46" s="42"/>
    </row>
    <row r="47" spans="2:10" x14ac:dyDescent="0.2">
      <c r="B47" s="28"/>
      <c r="C47" s="30"/>
      <c r="D47" s="23" t="s">
        <v>231</v>
      </c>
      <c r="E47" s="33"/>
      <c r="F47" s="32" t="s">
        <v>154</v>
      </c>
      <c r="H47" s="32" t="str">
        <f>"kg/" &amp; IF(Technology!$C$32="","FU",Technology!$C$32)</f>
        <v>kg/ton H2</v>
      </c>
      <c r="J47" s="42"/>
    </row>
    <row r="48" spans="2:10" x14ac:dyDescent="0.2">
      <c r="B48" s="28"/>
      <c r="C48" s="34"/>
      <c r="D48" s="23"/>
      <c r="E48" s="33"/>
      <c r="F48" s="32"/>
      <c r="H48" s="32"/>
      <c r="J48" s="42"/>
    </row>
    <row r="49" spans="2:10" x14ac:dyDescent="0.2">
      <c r="B49" s="28"/>
      <c r="C49" s="28"/>
      <c r="D49" s="35"/>
      <c r="E49" s="36"/>
      <c r="F49" s="37"/>
      <c r="G49" s="14"/>
      <c r="H49" s="37"/>
      <c r="I49" s="14"/>
      <c r="J49" s="249"/>
    </row>
    <row r="50" spans="2:10" x14ac:dyDescent="0.2">
      <c r="B50" s="29" t="s">
        <v>47</v>
      </c>
      <c r="C50" s="30" t="s">
        <v>148</v>
      </c>
      <c r="D50" s="23" t="s">
        <v>470</v>
      </c>
      <c r="E50" s="31"/>
      <c r="F50" s="32" t="s">
        <v>154</v>
      </c>
      <c r="H50" s="32" t="str">
        <f>"kg/" &amp; IF(Technology!$C$32="","FU",Technology!$C$32)</f>
        <v>kg/ton H2</v>
      </c>
      <c r="J50" s="42"/>
    </row>
    <row r="51" spans="2:10" x14ac:dyDescent="0.2">
      <c r="B51" s="29"/>
      <c r="C51" s="30"/>
      <c r="D51" s="23" t="s">
        <v>466</v>
      </c>
      <c r="E51" s="33"/>
      <c r="F51" s="32" t="s">
        <v>154</v>
      </c>
      <c r="H51" s="32" t="str">
        <f>"kg/" &amp; IF(Technology!$C$32="","FU",Technology!$C$32)</f>
        <v>kg/ton H2</v>
      </c>
      <c r="J51" s="42"/>
    </row>
    <row r="52" spans="2:10" x14ac:dyDescent="0.2">
      <c r="B52" s="29"/>
      <c r="C52" s="30"/>
      <c r="D52" s="23"/>
      <c r="E52" s="33"/>
      <c r="F52" s="32"/>
      <c r="H52" s="32"/>
      <c r="J52" s="42"/>
    </row>
    <row r="53" spans="2:10" x14ac:dyDescent="0.2">
      <c r="B53" s="29"/>
      <c r="C53" s="30"/>
      <c r="D53" s="23" t="s">
        <v>615</v>
      </c>
      <c r="E53" s="33"/>
      <c r="F53" s="32" t="s">
        <v>138</v>
      </c>
      <c r="H53" s="32" t="str">
        <f>"kWh/" &amp; IF(Technology!$C$32="","FU",Technology!$C$32)</f>
        <v>kWh/ton H2</v>
      </c>
      <c r="J53" s="42"/>
    </row>
    <row r="54" spans="2:10" x14ac:dyDescent="0.2">
      <c r="B54" s="29"/>
      <c r="C54" s="30"/>
      <c r="D54" s="23" t="s">
        <v>616</v>
      </c>
      <c r="E54" s="33"/>
      <c r="F54" s="32" t="s">
        <v>138</v>
      </c>
      <c r="H54" s="32" t="str">
        <f>"kWh/" &amp; IF(Technology!$C$32="","FU",Technology!$C$32)</f>
        <v>kWh/ton H2</v>
      </c>
      <c r="J54" s="42"/>
    </row>
    <row r="55" spans="2:10" x14ac:dyDescent="0.2">
      <c r="B55" s="29"/>
      <c r="C55" s="30"/>
      <c r="D55" s="23" t="s">
        <v>617</v>
      </c>
      <c r="E55" s="33"/>
      <c r="F55" s="32" t="s">
        <v>138</v>
      </c>
      <c r="H55" s="32" t="str">
        <f>"kWh/" &amp; IF(Technology!$C$32="","FU",Technology!$C$32)</f>
        <v>kWh/ton H2</v>
      </c>
      <c r="J55" s="42"/>
    </row>
    <row r="56" spans="2:10" x14ac:dyDescent="0.2">
      <c r="B56" s="29"/>
      <c r="C56" s="30"/>
      <c r="D56" s="23" t="s">
        <v>618</v>
      </c>
      <c r="E56" s="33"/>
      <c r="F56" s="32" t="s">
        <v>138</v>
      </c>
      <c r="H56" s="32" t="str">
        <f>"kWh/" &amp; IF(Technology!$C$32="","FU",Technology!$C$32)</f>
        <v>kWh/ton H2</v>
      </c>
      <c r="J56" s="42"/>
    </row>
    <row r="57" spans="2:10" x14ac:dyDescent="0.2">
      <c r="B57" s="29"/>
      <c r="F57" s="32"/>
      <c r="H57" s="32"/>
      <c r="J57" s="42"/>
    </row>
    <row r="58" spans="2:10" x14ac:dyDescent="0.2">
      <c r="B58" s="29"/>
      <c r="C58" s="30"/>
      <c r="D58" s="23" t="s">
        <v>619</v>
      </c>
      <c r="E58" s="33"/>
      <c r="F58" s="32" t="s">
        <v>620</v>
      </c>
      <c r="H58" s="32" t="str">
        <f>"m²/" &amp; IF(Technology!$C$32="","FU",Technology!$C$32)</f>
        <v>m²/ton H2</v>
      </c>
      <c r="J58" s="42"/>
    </row>
    <row r="59" spans="2:10" x14ac:dyDescent="0.2">
      <c r="B59" s="29"/>
      <c r="C59" s="30"/>
      <c r="D59" s="23" t="s">
        <v>621</v>
      </c>
      <c r="E59" s="33"/>
      <c r="F59" s="32" t="s">
        <v>67</v>
      </c>
      <c r="H59" s="32" t="s">
        <v>67</v>
      </c>
      <c r="J59" s="42"/>
    </row>
    <row r="60" spans="2:10" x14ac:dyDescent="0.2">
      <c r="B60" s="29"/>
      <c r="C60" s="30"/>
      <c r="D60" s="23"/>
      <c r="E60" s="33"/>
      <c r="F60" s="32"/>
      <c r="H60" s="32"/>
      <c r="J60" s="42"/>
    </row>
    <row r="61" spans="2:10" x14ac:dyDescent="0.2">
      <c r="B61" s="28"/>
      <c r="C61" s="30" t="s">
        <v>152</v>
      </c>
      <c r="D61" s="23" t="s">
        <v>622</v>
      </c>
      <c r="E61" s="33"/>
      <c r="F61" s="32" t="s">
        <v>154</v>
      </c>
      <c r="H61" s="32" t="str">
        <f>"kg/" &amp; IF(Technology!$C$32="","FU",Technology!$C$32)</f>
        <v>kg/ton H2</v>
      </c>
      <c r="J61" s="42"/>
    </row>
    <row r="62" spans="2:10" x14ac:dyDescent="0.2">
      <c r="B62" s="28"/>
      <c r="C62" s="34"/>
      <c r="D62" s="23" t="s">
        <v>466</v>
      </c>
      <c r="E62" s="33"/>
      <c r="F62" s="32" t="s">
        <v>154</v>
      </c>
      <c r="H62" s="32" t="str">
        <f>"kg/" &amp; IF(Technology!$C$32="","FU",Technology!$C$32)</f>
        <v>kg/ton H2</v>
      </c>
      <c r="J62" s="42"/>
    </row>
    <row r="63" spans="2:10" x14ac:dyDescent="0.2">
      <c r="B63" s="28"/>
      <c r="C63" s="34"/>
      <c r="D63" s="23" t="s">
        <v>242</v>
      </c>
      <c r="E63" s="33"/>
      <c r="F63" s="32" t="s">
        <v>154</v>
      </c>
      <c r="H63" s="32" t="str">
        <f>"kg/" &amp; IF(Technology!$C$32="","FU",Technology!$C$32)</f>
        <v>kg/ton H2</v>
      </c>
      <c r="J63" s="42"/>
    </row>
    <row r="64" spans="2:10" x14ac:dyDescent="0.2">
      <c r="B64" s="28"/>
      <c r="C64" s="34"/>
      <c r="D64" s="23" t="s">
        <v>231</v>
      </c>
      <c r="E64" s="33"/>
      <c r="F64" s="32" t="s">
        <v>154</v>
      </c>
      <c r="H64" s="32" t="str">
        <f>"kg/" &amp; IF(Technology!$C$32="","FU",Technology!$C$32)</f>
        <v>kg/ton H2</v>
      </c>
      <c r="J64" s="42"/>
    </row>
    <row r="65" spans="2:35" x14ac:dyDescent="0.2">
      <c r="B65" s="28"/>
      <c r="C65" s="34"/>
      <c r="D65" s="23"/>
      <c r="E65" s="33"/>
      <c r="F65" s="32"/>
      <c r="H65" s="32"/>
      <c r="J65" s="42"/>
    </row>
    <row r="66" spans="2:35" x14ac:dyDescent="0.2">
      <c r="B66" s="241"/>
      <c r="C66" s="361"/>
      <c r="D66" s="23"/>
      <c r="E66" s="362"/>
      <c r="F66" s="32"/>
      <c r="G66" s="32"/>
      <c r="J66" s="42"/>
    </row>
    <row r="67" spans="2:35" x14ac:dyDescent="0.2">
      <c r="B67" s="24"/>
      <c r="C67" s="363"/>
      <c r="D67" s="246"/>
      <c r="E67" s="247"/>
      <c r="F67" s="248"/>
      <c r="G67" s="248"/>
      <c r="H67" s="7"/>
      <c r="I67" s="7"/>
      <c r="J67" s="182"/>
    </row>
    <row r="69" spans="2:35" x14ac:dyDescent="0.2">
      <c r="B69" s="120" t="s">
        <v>146</v>
      </c>
      <c r="C69" s="195" t="s">
        <v>136</v>
      </c>
      <c r="D69" s="199" t="s">
        <v>401</v>
      </c>
    </row>
    <row r="70" spans="2:35" x14ac:dyDescent="0.2">
      <c r="B70" s="63" t="s">
        <v>157</v>
      </c>
      <c r="C70" s="2" t="s">
        <v>170</v>
      </c>
      <c r="D70" s="364"/>
    </row>
    <row r="71" spans="2:35" x14ac:dyDescent="0.2">
      <c r="B71" s="18" t="s">
        <v>158</v>
      </c>
      <c r="C71" s="2" t="s">
        <v>170</v>
      </c>
      <c r="D71" s="365"/>
    </row>
    <row r="72" spans="2:35" x14ac:dyDescent="0.2">
      <c r="B72" s="18" t="s">
        <v>159</v>
      </c>
      <c r="C72" s="2" t="s">
        <v>170</v>
      </c>
      <c r="D72" s="365"/>
    </row>
    <row r="73" spans="2:35" x14ac:dyDescent="0.2">
      <c r="B73" s="18" t="s">
        <v>160</v>
      </c>
      <c r="C73" s="2" t="s">
        <v>170</v>
      </c>
      <c r="D73" s="365"/>
    </row>
    <row r="74" spans="2:35" x14ac:dyDescent="0.2">
      <c r="B74" s="18" t="s">
        <v>161</v>
      </c>
      <c r="C74" s="2" t="s">
        <v>170</v>
      </c>
      <c r="D74" s="365"/>
    </row>
    <row r="75" spans="2:35" x14ac:dyDescent="0.2">
      <c r="B75" s="119" t="s">
        <v>162</v>
      </c>
      <c r="C75" s="123" t="s">
        <v>170</v>
      </c>
      <c r="D75" s="366"/>
    </row>
    <row r="78" spans="2:35" x14ac:dyDescent="0.2">
      <c r="B78" s="39" t="s">
        <v>433</v>
      </c>
      <c r="C78" s="367"/>
      <c r="D78" s="367"/>
      <c r="E78" s="550" t="s">
        <v>434</v>
      </c>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1"/>
    </row>
    <row r="79" spans="2:35" x14ac:dyDescent="0.2">
      <c r="B79" s="40" t="s">
        <v>435</v>
      </c>
      <c r="C79" s="40" t="s">
        <v>20</v>
      </c>
      <c r="D79" s="40" t="s">
        <v>147</v>
      </c>
      <c r="E79" s="40">
        <v>0</v>
      </c>
      <c r="F79" s="40">
        <v>1</v>
      </c>
      <c r="G79" s="40">
        <v>2</v>
      </c>
      <c r="H79" s="40">
        <v>3</v>
      </c>
      <c r="I79" s="40">
        <v>4</v>
      </c>
      <c r="J79" s="40">
        <v>5</v>
      </c>
      <c r="K79" s="40">
        <v>6</v>
      </c>
      <c r="L79" s="40">
        <v>7</v>
      </c>
      <c r="M79" s="40">
        <v>8</v>
      </c>
      <c r="N79" s="40">
        <v>9</v>
      </c>
      <c r="O79" s="40">
        <v>10</v>
      </c>
      <c r="P79" s="40">
        <v>11</v>
      </c>
      <c r="Q79" s="40">
        <v>12</v>
      </c>
      <c r="R79" s="40">
        <v>13</v>
      </c>
      <c r="S79" s="40">
        <v>14</v>
      </c>
      <c r="T79" s="40">
        <v>15</v>
      </c>
      <c r="U79" s="40">
        <v>16</v>
      </c>
      <c r="V79" s="40">
        <v>17</v>
      </c>
      <c r="W79" s="40">
        <v>18</v>
      </c>
      <c r="X79" s="40">
        <v>19</v>
      </c>
      <c r="Y79" s="40">
        <v>20</v>
      </c>
      <c r="Z79" s="40">
        <v>21</v>
      </c>
      <c r="AA79" s="40">
        <v>22</v>
      </c>
      <c r="AB79" s="40">
        <v>23</v>
      </c>
      <c r="AC79" s="40">
        <v>24</v>
      </c>
      <c r="AD79" s="40">
        <v>25</v>
      </c>
      <c r="AE79" s="40">
        <v>26</v>
      </c>
      <c r="AF79" s="40">
        <v>27</v>
      </c>
      <c r="AG79" s="40">
        <v>28</v>
      </c>
      <c r="AH79" s="40">
        <v>29</v>
      </c>
      <c r="AI79" s="219">
        <v>30</v>
      </c>
    </row>
    <row r="80" spans="2:35" s="6" customFormat="1" x14ac:dyDescent="0.2">
      <c r="B80" s="8" t="s">
        <v>436</v>
      </c>
      <c r="C80" s="8"/>
      <c r="D80" s="8"/>
      <c r="E80" s="221">
        <f t="shared" ref="E80:AI80" si="0">SUM(E81:E85)</f>
        <v>0</v>
      </c>
      <c r="F80" s="221">
        <f t="shared" si="0"/>
        <v>0</v>
      </c>
      <c r="G80" s="221">
        <f t="shared" si="0"/>
        <v>0</v>
      </c>
      <c r="H80" s="221">
        <f t="shared" si="0"/>
        <v>0</v>
      </c>
      <c r="I80" s="221">
        <f t="shared" si="0"/>
        <v>0</v>
      </c>
      <c r="J80" s="221">
        <f t="shared" si="0"/>
        <v>0</v>
      </c>
      <c r="K80" s="221">
        <f t="shared" si="0"/>
        <v>0</v>
      </c>
      <c r="L80" s="221">
        <f t="shared" si="0"/>
        <v>0</v>
      </c>
      <c r="M80" s="221">
        <f t="shared" si="0"/>
        <v>0</v>
      </c>
      <c r="N80" s="221">
        <f t="shared" si="0"/>
        <v>0</v>
      </c>
      <c r="O80" s="221">
        <f t="shared" si="0"/>
        <v>0</v>
      </c>
      <c r="P80" s="221">
        <f t="shared" si="0"/>
        <v>0</v>
      </c>
      <c r="Q80" s="221">
        <f t="shared" si="0"/>
        <v>0</v>
      </c>
      <c r="R80" s="221">
        <f t="shared" si="0"/>
        <v>0</v>
      </c>
      <c r="S80" s="221">
        <f t="shared" si="0"/>
        <v>0</v>
      </c>
      <c r="T80" s="221">
        <f t="shared" si="0"/>
        <v>0</v>
      </c>
      <c r="U80" s="221">
        <f t="shared" si="0"/>
        <v>0</v>
      </c>
      <c r="V80" s="221">
        <f t="shared" si="0"/>
        <v>0</v>
      </c>
      <c r="W80" s="221">
        <f t="shared" si="0"/>
        <v>0</v>
      </c>
      <c r="X80" s="221">
        <f t="shared" si="0"/>
        <v>0</v>
      </c>
      <c r="Y80" s="221">
        <f t="shared" si="0"/>
        <v>0</v>
      </c>
      <c r="Z80" s="221">
        <f t="shared" si="0"/>
        <v>0</v>
      </c>
      <c r="AA80" s="221">
        <f t="shared" si="0"/>
        <v>0</v>
      </c>
      <c r="AB80" s="221">
        <f t="shared" si="0"/>
        <v>0</v>
      </c>
      <c r="AC80" s="221">
        <f t="shared" si="0"/>
        <v>0</v>
      </c>
      <c r="AD80" s="221">
        <f t="shared" si="0"/>
        <v>0</v>
      </c>
      <c r="AE80" s="221">
        <f t="shared" si="0"/>
        <v>0</v>
      </c>
      <c r="AF80" s="221">
        <f t="shared" si="0"/>
        <v>0</v>
      </c>
      <c r="AG80" s="221">
        <f t="shared" si="0"/>
        <v>0</v>
      </c>
      <c r="AH80" s="221">
        <f t="shared" si="0"/>
        <v>0</v>
      </c>
      <c r="AI80" s="222">
        <f t="shared" si="0"/>
        <v>0</v>
      </c>
    </row>
    <row r="81" spans="2:35" x14ac:dyDescent="0.2">
      <c r="B81" s="9"/>
      <c r="C81" s="21" t="s">
        <v>47</v>
      </c>
      <c r="D81" s="1" t="s">
        <v>436</v>
      </c>
      <c r="E81" s="226"/>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5"/>
    </row>
    <row r="82" spans="2:35" x14ac:dyDescent="0.2">
      <c r="B82" s="9"/>
      <c r="C82" s="21"/>
      <c r="D82" s="1" t="s">
        <v>438</v>
      </c>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8"/>
    </row>
    <row r="83" spans="2:35" x14ac:dyDescent="0.2">
      <c r="B83" s="9"/>
      <c r="C83" s="21" t="s">
        <v>47</v>
      </c>
      <c r="D83" s="1" t="s">
        <v>436</v>
      </c>
      <c r="E83" s="226"/>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5"/>
    </row>
    <row r="84" spans="2:35" x14ac:dyDescent="0.2">
      <c r="B84" s="9"/>
      <c r="C84" s="21"/>
      <c r="D84" s="1" t="s">
        <v>438</v>
      </c>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8"/>
    </row>
    <row r="85" spans="2:35" x14ac:dyDescent="0.2">
      <c r="B85" s="9"/>
      <c r="C85" s="21"/>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8"/>
    </row>
    <row r="86" spans="2:35" s="6" customFormat="1" x14ac:dyDescent="0.2">
      <c r="B86" s="8" t="s">
        <v>441</v>
      </c>
      <c r="C86" s="80"/>
      <c r="D86" s="8"/>
      <c r="E86" s="221"/>
      <c r="F86" s="221">
        <f t="shared" ref="F86:AI86" si="1">SUM(F87:F107)</f>
        <v>0</v>
      </c>
      <c r="G86" s="221">
        <f t="shared" si="1"/>
        <v>0</v>
      </c>
      <c r="H86" s="221">
        <f t="shared" si="1"/>
        <v>0</v>
      </c>
      <c r="I86" s="221">
        <f t="shared" si="1"/>
        <v>0</v>
      </c>
      <c r="J86" s="221">
        <f t="shared" si="1"/>
        <v>0</v>
      </c>
      <c r="K86" s="221">
        <f t="shared" si="1"/>
        <v>0</v>
      </c>
      <c r="L86" s="221">
        <f t="shared" si="1"/>
        <v>0</v>
      </c>
      <c r="M86" s="221">
        <f t="shared" si="1"/>
        <v>0</v>
      </c>
      <c r="N86" s="221">
        <f t="shared" si="1"/>
        <v>0</v>
      </c>
      <c r="O86" s="221">
        <f t="shared" si="1"/>
        <v>0</v>
      </c>
      <c r="P86" s="221">
        <f t="shared" si="1"/>
        <v>0</v>
      </c>
      <c r="Q86" s="221">
        <f t="shared" si="1"/>
        <v>0</v>
      </c>
      <c r="R86" s="221">
        <f t="shared" si="1"/>
        <v>0</v>
      </c>
      <c r="S86" s="221">
        <f t="shared" si="1"/>
        <v>0</v>
      </c>
      <c r="T86" s="221">
        <f t="shared" si="1"/>
        <v>0</v>
      </c>
      <c r="U86" s="221">
        <f t="shared" si="1"/>
        <v>0</v>
      </c>
      <c r="V86" s="221">
        <f t="shared" si="1"/>
        <v>0</v>
      </c>
      <c r="W86" s="221">
        <f t="shared" si="1"/>
        <v>0</v>
      </c>
      <c r="X86" s="221">
        <f t="shared" si="1"/>
        <v>0</v>
      </c>
      <c r="Y86" s="221">
        <f t="shared" si="1"/>
        <v>0</v>
      </c>
      <c r="Z86" s="221">
        <f t="shared" si="1"/>
        <v>0</v>
      </c>
      <c r="AA86" s="221">
        <f t="shared" si="1"/>
        <v>0</v>
      </c>
      <c r="AB86" s="221">
        <f t="shared" si="1"/>
        <v>0</v>
      </c>
      <c r="AC86" s="221">
        <f t="shared" si="1"/>
        <v>0</v>
      </c>
      <c r="AD86" s="221">
        <f t="shared" si="1"/>
        <v>0</v>
      </c>
      <c r="AE86" s="221">
        <f t="shared" si="1"/>
        <v>0</v>
      </c>
      <c r="AF86" s="221">
        <f t="shared" si="1"/>
        <v>0</v>
      </c>
      <c r="AG86" s="221">
        <f t="shared" si="1"/>
        <v>0</v>
      </c>
      <c r="AH86" s="221">
        <f t="shared" si="1"/>
        <v>0</v>
      </c>
      <c r="AI86" s="222">
        <f t="shared" si="1"/>
        <v>0</v>
      </c>
    </row>
    <row r="87" spans="2:35" x14ac:dyDescent="0.2">
      <c r="B87" s="9"/>
      <c r="C87" s="21" t="s">
        <v>330</v>
      </c>
      <c r="D87" s="1" t="s">
        <v>442</v>
      </c>
      <c r="E87" s="226"/>
      <c r="F87" s="226">
        <f>IF(F$79&gt;e_ecolifetime_yr,0,$E$80*'Data - economic'!$I$41)</f>
        <v>0</v>
      </c>
      <c r="G87" s="226">
        <f>IF(G$79&gt;e_ecolifetime_yr,0,$E$80*'Data - economic'!$I$41)</f>
        <v>0</v>
      </c>
      <c r="H87" s="226">
        <f>IF(H$79&gt;e_ecolifetime_yr,0,$E$80*'Data - economic'!$I$41)</f>
        <v>0</v>
      </c>
      <c r="I87" s="226">
        <f>IF(I$79&gt;e_ecolifetime_yr,0,$E$80*'Data - economic'!$I$41)</f>
        <v>0</v>
      </c>
      <c r="J87" s="226">
        <f>IF(J$79&gt;e_ecolifetime_yr,0,$E$80*'Data - economic'!$I$41)</f>
        <v>0</v>
      </c>
      <c r="K87" s="226">
        <f>IF(K$79&gt;e_ecolifetime_yr,0,$E$80*'Data - economic'!$I$41)</f>
        <v>0</v>
      </c>
      <c r="L87" s="226">
        <f>IF(L$79&gt;e_ecolifetime_yr,0,$E$80*'Data - economic'!$I$41)</f>
        <v>0</v>
      </c>
      <c r="M87" s="226">
        <f>IF(M$79&gt;e_ecolifetime_yr,0,$E$80*'Data - economic'!$I$41)</f>
        <v>0</v>
      </c>
      <c r="N87" s="226">
        <f>IF(N$79&gt;e_ecolifetime_yr,0,$E$80*'Data - economic'!$I$41)</f>
        <v>0</v>
      </c>
      <c r="O87" s="226">
        <f>IF(O$79&gt;e_ecolifetime_yr,0,$E$80*'Data - economic'!$I$41)</f>
        <v>0</v>
      </c>
      <c r="P87" s="226">
        <f>IF(P$79&gt;e_ecolifetime_yr,0,$E$80*'Data - economic'!$I$41)</f>
        <v>0</v>
      </c>
      <c r="Q87" s="226">
        <f>IF(Q$79&gt;e_ecolifetime_yr,0,$E$80*'Data - economic'!$I$41)</f>
        <v>0</v>
      </c>
      <c r="R87" s="226">
        <f>IF(R$79&gt;e_ecolifetime_yr,0,$E$80*'Data - economic'!$I$41)</f>
        <v>0</v>
      </c>
      <c r="S87" s="226">
        <f>IF(S$79&gt;e_ecolifetime_yr,0,$E$80*'Data - economic'!$I$41)</f>
        <v>0</v>
      </c>
      <c r="T87" s="226">
        <f>IF(T$79&gt;e_ecolifetime_yr,0,$E$80*'Data - economic'!$I$41)</f>
        <v>0</v>
      </c>
      <c r="U87" s="226">
        <f>IF(U$79&gt;e_ecolifetime_yr,0,$E$80*'Data - economic'!$I$41)</f>
        <v>0</v>
      </c>
      <c r="V87" s="226">
        <f>IF(V$79&gt;e_ecolifetime_yr,0,$E$80*'Data - economic'!$I$41)</f>
        <v>0</v>
      </c>
      <c r="W87" s="226">
        <f>IF(W$79&gt;e_ecolifetime_yr,0,$E$80*'Data - economic'!$I$41)</f>
        <v>0</v>
      </c>
      <c r="X87" s="226">
        <f>IF(X$79&gt;e_ecolifetime_yr,0,$E$80*'Data - economic'!$I$41)</f>
        <v>0</v>
      </c>
      <c r="Y87" s="226">
        <f>IF(Y$79&gt;e_ecolifetime_yr,0,$E$80*'Data - economic'!$I$41)</f>
        <v>0</v>
      </c>
      <c r="Z87" s="226">
        <f>IF(Z$79&gt;e_ecolifetime_yr,0,$E$80*'Data - economic'!$I$41)</f>
        <v>0</v>
      </c>
      <c r="AA87" s="226">
        <f>IF(AA$79&gt;e_ecolifetime_yr,0,$E$80*'Data - economic'!$I$41)</f>
        <v>0</v>
      </c>
      <c r="AB87" s="226">
        <f>IF(AB$79&gt;e_ecolifetime_yr,0,$E$80*'Data - economic'!$I$41)</f>
        <v>0</v>
      </c>
      <c r="AC87" s="226">
        <f>IF(AC$79&gt;e_ecolifetime_yr,0,$E$80*'Data - economic'!$I$41)</f>
        <v>0</v>
      </c>
      <c r="AD87" s="226">
        <f>IF(AD$79&gt;e_ecolifetime_yr,0,$E$80*'Data - economic'!$I$41)</f>
        <v>0</v>
      </c>
      <c r="AE87" s="226">
        <f>IF(AE$79&gt;e_ecolifetime_yr,0,$E$80*'Data - economic'!$I$41)</f>
        <v>0</v>
      </c>
      <c r="AF87" s="226">
        <f>IF(AF$79&gt;e_ecolifetime_yr,0,$E$80*'Data - economic'!$I$41)</f>
        <v>0</v>
      </c>
      <c r="AG87" s="226">
        <f>IF(AG$79&gt;e_ecolifetime_yr,0,$E$80*'Data - economic'!$I$41)</f>
        <v>0</v>
      </c>
      <c r="AH87" s="226">
        <f>IF(AH$79&gt;e_ecolifetime_yr,0,$E$80*'Data - economic'!$I$41)</f>
        <v>0</v>
      </c>
      <c r="AI87" s="383">
        <f>IF(AI$79&gt;e_ecolifetime_yr,0,$E$80*'Data - economic'!$I$41)</f>
        <v>0</v>
      </c>
    </row>
    <row r="88" spans="2:35" x14ac:dyDescent="0.2">
      <c r="B88" s="9"/>
      <c r="C88" s="21"/>
      <c r="D88" s="1" t="s">
        <v>443</v>
      </c>
      <c r="E88" s="226"/>
      <c r="F88" s="226">
        <f>IF(F$79&gt;e_ecolifetime_yr,0,$E$80*'Data - economic'!$I$42)</f>
        <v>0</v>
      </c>
      <c r="G88" s="226">
        <f>IF(G$79&gt;e_ecolifetime_yr,0,$E$80*'Data - economic'!$I$42)</f>
        <v>0</v>
      </c>
      <c r="H88" s="226">
        <f>IF(H$79&gt;e_ecolifetime_yr,0,$E$80*'Data - economic'!$I$42)</f>
        <v>0</v>
      </c>
      <c r="I88" s="226">
        <f>IF(I$79&gt;e_ecolifetime_yr,0,$E$80*'Data - economic'!$I$42)</f>
        <v>0</v>
      </c>
      <c r="J88" s="226">
        <f>IF(J$79&gt;e_ecolifetime_yr,0,$E$80*'Data - economic'!$I$42)</f>
        <v>0</v>
      </c>
      <c r="K88" s="226">
        <f>IF(K$79&gt;e_ecolifetime_yr,0,$E$80*'Data - economic'!$I$42)</f>
        <v>0</v>
      </c>
      <c r="L88" s="226">
        <f>IF(L$79&gt;e_ecolifetime_yr,0,$E$80*'Data - economic'!$I$42)</f>
        <v>0</v>
      </c>
      <c r="M88" s="226">
        <f>IF(M$79&gt;e_ecolifetime_yr,0,$E$80*'Data - economic'!$I$42)</f>
        <v>0</v>
      </c>
      <c r="N88" s="226">
        <f>IF(N$79&gt;e_ecolifetime_yr,0,$E$80*'Data - economic'!$I$42)</f>
        <v>0</v>
      </c>
      <c r="O88" s="226">
        <f>IF(O$79&gt;e_ecolifetime_yr,0,$E$80*'Data - economic'!$I$42)</f>
        <v>0</v>
      </c>
      <c r="P88" s="226">
        <f>IF(P$79&gt;e_ecolifetime_yr,0,$E$80*'Data - economic'!$I$42)</f>
        <v>0</v>
      </c>
      <c r="Q88" s="226">
        <f>IF(Q$79&gt;e_ecolifetime_yr,0,$E$80*'Data - economic'!$I$42)</f>
        <v>0</v>
      </c>
      <c r="R88" s="226">
        <f>IF(R$79&gt;e_ecolifetime_yr,0,$E$80*'Data - economic'!$I$42)</f>
        <v>0</v>
      </c>
      <c r="S88" s="226">
        <f>IF(S$79&gt;e_ecolifetime_yr,0,$E$80*'Data - economic'!$I$42)</f>
        <v>0</v>
      </c>
      <c r="T88" s="226">
        <f>IF(T$79&gt;e_ecolifetime_yr,0,$E$80*'Data - economic'!$I$42)</f>
        <v>0</v>
      </c>
      <c r="U88" s="226">
        <f>IF(U$79&gt;e_ecolifetime_yr,0,$E$80*'Data - economic'!$I$42)</f>
        <v>0</v>
      </c>
      <c r="V88" s="226">
        <f>IF(V$79&gt;e_ecolifetime_yr,0,$E$80*'Data - economic'!$I$42)</f>
        <v>0</v>
      </c>
      <c r="W88" s="226">
        <f>IF(W$79&gt;e_ecolifetime_yr,0,$E$80*'Data - economic'!$I$42)</f>
        <v>0</v>
      </c>
      <c r="X88" s="226">
        <f>IF(X$79&gt;e_ecolifetime_yr,0,$E$80*'Data - economic'!$I$42)</f>
        <v>0</v>
      </c>
      <c r="Y88" s="226">
        <f>IF(Y$79&gt;e_ecolifetime_yr,0,$E$80*'Data - economic'!$I$42)</f>
        <v>0</v>
      </c>
      <c r="Z88" s="226">
        <f>IF(Z$79&gt;e_ecolifetime_yr,0,$E$80*'Data - economic'!$I$42)</f>
        <v>0</v>
      </c>
      <c r="AA88" s="226">
        <f>IF(AA$79&gt;e_ecolifetime_yr,0,$E$80*'Data - economic'!$I$42)</f>
        <v>0</v>
      </c>
      <c r="AB88" s="226">
        <f>IF(AB$79&gt;e_ecolifetime_yr,0,$E$80*'Data - economic'!$I$42)</f>
        <v>0</v>
      </c>
      <c r="AC88" s="226">
        <f>IF(AC$79&gt;e_ecolifetime_yr,0,$E$80*'Data - economic'!$I$42)</f>
        <v>0</v>
      </c>
      <c r="AD88" s="226">
        <f>IF(AD$79&gt;e_ecolifetime_yr,0,$E$80*'Data - economic'!$I$42)</f>
        <v>0</v>
      </c>
      <c r="AE88" s="226">
        <f>IF(AE$79&gt;e_ecolifetime_yr,0,$E$80*'Data - economic'!$I$42)</f>
        <v>0</v>
      </c>
      <c r="AF88" s="226">
        <f>IF(AF$79&gt;e_ecolifetime_yr,0,$E$80*'Data - economic'!$I$42)</f>
        <v>0</v>
      </c>
      <c r="AG88" s="226">
        <f>IF(AG$79&gt;e_ecolifetime_yr,0,$E$80*'Data - economic'!$I$42)</f>
        <v>0</v>
      </c>
      <c r="AH88" s="226">
        <f>IF(AH$79&gt;e_ecolifetime_yr,0,$E$80*'Data - economic'!$I$42)</f>
        <v>0</v>
      </c>
      <c r="AI88" s="383">
        <f>IF(AI$79&gt;e_ecolifetime_yr,0,$E$80*'Data - economic'!$I$42)</f>
        <v>0</v>
      </c>
    </row>
    <row r="89" spans="2:35" x14ac:dyDescent="0.2">
      <c r="B89" s="9"/>
      <c r="C89" s="21"/>
      <c r="D89" s="1" t="s">
        <v>444</v>
      </c>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8"/>
    </row>
    <row r="90" spans="2:35" x14ac:dyDescent="0.2">
      <c r="B90" s="9"/>
      <c r="C90" s="21"/>
      <c r="D90" s="1" t="s">
        <v>445</v>
      </c>
      <c r="E90" s="226"/>
      <c r="F90" s="226">
        <f>IF(F$79&gt;e_ecolifetime_yr,0,('2. Pathway 2'!$F$89+'2. Pathway 2'!$F$88)*'Data - economic'!$I$43)</f>
        <v>0</v>
      </c>
      <c r="G90" s="226">
        <f>IF(G$79&gt;e_ecolifetime_yr,0,('2. Pathway 2'!$F$89+'2. Pathway 2'!$F$88)*'Data - economic'!$I$43)</f>
        <v>0</v>
      </c>
      <c r="H90" s="226">
        <f>IF(H$79&gt;e_ecolifetime_yr,0,('2. Pathway 2'!$F$89+'2. Pathway 2'!$F$88)*'Data - economic'!$I$43)</f>
        <v>0</v>
      </c>
      <c r="I90" s="226">
        <f>IF(I$79&gt;e_ecolifetime_yr,0,('2. Pathway 2'!$F$89+'2. Pathway 2'!$F$88)*'Data - economic'!$I$43)</f>
        <v>0</v>
      </c>
      <c r="J90" s="226">
        <f>IF(J$79&gt;e_ecolifetime_yr,0,('2. Pathway 2'!$F$89+'2. Pathway 2'!$F$88)*'Data - economic'!$I$43)</f>
        <v>0</v>
      </c>
      <c r="K90" s="226">
        <f>IF(K$79&gt;e_ecolifetime_yr,0,('2. Pathway 2'!$F$89+'2. Pathway 2'!$F$88)*'Data - economic'!$I$43)</f>
        <v>0</v>
      </c>
      <c r="L90" s="226">
        <f>IF(L$79&gt;e_ecolifetime_yr,0,('2. Pathway 2'!$F$89+'2. Pathway 2'!$F$88)*'Data - economic'!$I$43)</f>
        <v>0</v>
      </c>
      <c r="M90" s="226">
        <f>IF(M$79&gt;e_ecolifetime_yr,0,('2. Pathway 2'!$F$89+'2. Pathway 2'!$F$88)*'Data - economic'!$I$43)</f>
        <v>0</v>
      </c>
      <c r="N90" s="226">
        <f>IF(N$79&gt;e_ecolifetime_yr,0,('2. Pathway 2'!$F$89+'2. Pathway 2'!$F$88)*'Data - economic'!$I$43)</f>
        <v>0</v>
      </c>
      <c r="O90" s="226">
        <f>IF(O$79&gt;e_ecolifetime_yr,0,('2. Pathway 2'!$F$89+'2. Pathway 2'!$F$88)*'Data - economic'!$I$43)</f>
        <v>0</v>
      </c>
      <c r="P90" s="226">
        <f>IF(P$79&gt;e_ecolifetime_yr,0,('2. Pathway 2'!$F$89+'2. Pathway 2'!$F$88)*'Data - economic'!$I$43)</f>
        <v>0</v>
      </c>
      <c r="Q90" s="226">
        <f>IF(Q$79&gt;e_ecolifetime_yr,0,('2. Pathway 2'!$F$89+'2. Pathway 2'!$F$88)*'Data - economic'!$I$43)</f>
        <v>0</v>
      </c>
      <c r="R90" s="226">
        <f>IF(R$79&gt;e_ecolifetime_yr,0,('2. Pathway 2'!$F$89+'2. Pathway 2'!$F$88)*'Data - economic'!$I$43)</f>
        <v>0</v>
      </c>
      <c r="S90" s="226">
        <f>IF(S$79&gt;e_ecolifetime_yr,0,('2. Pathway 2'!$F$89+'2. Pathway 2'!$F$88)*'Data - economic'!$I$43)</f>
        <v>0</v>
      </c>
      <c r="T90" s="226">
        <f>IF(T$79&gt;e_ecolifetime_yr,0,('2. Pathway 2'!$F$89+'2. Pathway 2'!$F$88)*'Data - economic'!$I$43)</f>
        <v>0</v>
      </c>
      <c r="U90" s="226">
        <f>IF(U$79&gt;e_ecolifetime_yr,0,('2. Pathway 2'!$F$89+'2. Pathway 2'!$F$88)*'Data - economic'!$I$43)</f>
        <v>0</v>
      </c>
      <c r="V90" s="226">
        <f>IF(V$79&gt;e_ecolifetime_yr,0,('2. Pathway 2'!$F$89+'2. Pathway 2'!$F$88)*'Data - economic'!$I$43)</f>
        <v>0</v>
      </c>
      <c r="W90" s="226">
        <f>IF(W$79&gt;e_ecolifetime_yr,0,('2. Pathway 2'!$F$89+'2. Pathway 2'!$F$88)*'Data - economic'!$I$43)</f>
        <v>0</v>
      </c>
      <c r="X90" s="226">
        <f>IF(X$79&gt;e_ecolifetime_yr,0,('2. Pathway 2'!$F$89+'2. Pathway 2'!$F$88)*'Data - economic'!$I$43)</f>
        <v>0</v>
      </c>
      <c r="Y90" s="226">
        <f>IF(Y$79&gt;e_ecolifetime_yr,0,('2. Pathway 2'!$F$89+'2. Pathway 2'!$F$88)*'Data - economic'!$I$43)</f>
        <v>0</v>
      </c>
      <c r="Z90" s="226">
        <f>IF(Z$79&gt;e_ecolifetime_yr,0,('2. Pathway 2'!$F$89+'2. Pathway 2'!$F$88)*'Data - economic'!$I$43)</f>
        <v>0</v>
      </c>
      <c r="AA90" s="226">
        <f>IF(AA$79&gt;e_ecolifetime_yr,0,('2. Pathway 2'!$F$89+'2. Pathway 2'!$F$88)*'Data - economic'!$I$43)</f>
        <v>0</v>
      </c>
      <c r="AB90" s="226">
        <f>IF(AB$79&gt;e_ecolifetime_yr,0,('2. Pathway 2'!$F$89+'2. Pathway 2'!$F$88)*'Data - economic'!$I$43)</f>
        <v>0</v>
      </c>
      <c r="AC90" s="226">
        <f>IF(AC$79&gt;e_ecolifetime_yr,0,('2. Pathway 2'!$F$89+'2. Pathway 2'!$F$88)*'Data - economic'!$I$43)</f>
        <v>0</v>
      </c>
      <c r="AD90" s="226">
        <f>IF(AD$79&gt;e_ecolifetime_yr,0,('2. Pathway 2'!$F$89+'2. Pathway 2'!$F$88)*'Data - economic'!$I$43)</f>
        <v>0</v>
      </c>
      <c r="AE90" s="226">
        <f>IF(AE$79&gt;e_ecolifetime_yr,0,('2. Pathway 2'!$F$89+'2. Pathway 2'!$F$88)*'Data - economic'!$I$43)</f>
        <v>0</v>
      </c>
      <c r="AF90" s="226">
        <f>IF(AF$79&gt;e_ecolifetime_yr,0,('2. Pathway 2'!$F$89+'2. Pathway 2'!$F$88)*'Data - economic'!$I$43)</f>
        <v>0</v>
      </c>
      <c r="AG90" s="226">
        <f>IF(AG$79&gt;e_ecolifetime_yr,0,('2. Pathway 2'!$F$89+'2. Pathway 2'!$F$88)*'Data - economic'!$I$43)</f>
        <v>0</v>
      </c>
      <c r="AH90" s="226">
        <f>IF(AH$79&gt;e_ecolifetime_yr,0,('2. Pathway 2'!$F$89+'2. Pathway 2'!$F$88)*'Data - economic'!$I$43)</f>
        <v>0</v>
      </c>
      <c r="AI90" s="383">
        <f>IF(AI$79&gt;e_ecolifetime_yr,0,('2. Pathway 2'!$F$89+'2. Pathway 2'!$F$88)*'Data - economic'!$I$43)</f>
        <v>0</v>
      </c>
    </row>
    <row r="91" spans="2:35" x14ac:dyDescent="0.2">
      <c r="B91" s="9"/>
      <c r="C91" s="21"/>
      <c r="D91" s="1" t="s">
        <v>304</v>
      </c>
      <c r="E91" s="226"/>
      <c r="F91" s="226">
        <f>IF(F$79&gt;e_ecolifetime_yr,0,'2. Pathway 2'!$F$89*'Data - economic'!$I$44)</f>
        <v>0</v>
      </c>
      <c r="G91" s="226">
        <f>IF(G$79&gt;e_ecolifetime_yr,0,'2. Pathway 2'!$F$89*'Data - economic'!$I$44)</f>
        <v>0</v>
      </c>
      <c r="H91" s="226">
        <f>IF(H$79&gt;e_ecolifetime_yr,0,'2. Pathway 2'!$F$89*'Data - economic'!$I$44)</f>
        <v>0</v>
      </c>
      <c r="I91" s="226">
        <f>IF(I$79&gt;e_ecolifetime_yr,0,'2. Pathway 2'!$F$89*'Data - economic'!$I$44)</f>
        <v>0</v>
      </c>
      <c r="J91" s="226">
        <f>IF(J$79&gt;e_ecolifetime_yr,0,'2. Pathway 2'!$F$89*'Data - economic'!$I$44)</f>
        <v>0</v>
      </c>
      <c r="K91" s="226">
        <f>IF(K$79&gt;e_ecolifetime_yr,0,'2. Pathway 2'!$F$89*'Data - economic'!$I$44)</f>
        <v>0</v>
      </c>
      <c r="L91" s="226">
        <f>IF(L$79&gt;e_ecolifetime_yr,0,'2. Pathway 2'!$F$89*'Data - economic'!$I$44)</f>
        <v>0</v>
      </c>
      <c r="M91" s="226">
        <f>IF(M$79&gt;e_ecolifetime_yr,0,'2. Pathway 2'!$F$89*'Data - economic'!$I$44)</f>
        <v>0</v>
      </c>
      <c r="N91" s="226">
        <f>IF(N$79&gt;e_ecolifetime_yr,0,'2. Pathway 2'!$F$89*'Data - economic'!$I$44)</f>
        <v>0</v>
      </c>
      <c r="O91" s="226">
        <f>IF(O$79&gt;e_ecolifetime_yr,0,'2. Pathway 2'!$F$89*'Data - economic'!$I$44)</f>
        <v>0</v>
      </c>
      <c r="P91" s="226">
        <f>IF(P$79&gt;e_ecolifetime_yr,0,'2. Pathway 2'!$F$89*'Data - economic'!$I$44)</f>
        <v>0</v>
      </c>
      <c r="Q91" s="226">
        <f>IF(Q$79&gt;e_ecolifetime_yr,0,'2. Pathway 2'!$F$89*'Data - economic'!$I$44)</f>
        <v>0</v>
      </c>
      <c r="R91" s="226">
        <f>IF(R$79&gt;e_ecolifetime_yr,0,'2. Pathway 2'!$F$89*'Data - economic'!$I$44)</f>
        <v>0</v>
      </c>
      <c r="S91" s="226">
        <f>IF(S$79&gt;e_ecolifetime_yr,0,'2. Pathway 2'!$F$89*'Data - economic'!$I$44)</f>
        <v>0</v>
      </c>
      <c r="T91" s="226">
        <f>IF(T$79&gt;e_ecolifetime_yr,0,'2. Pathway 2'!$F$89*'Data - economic'!$I$44)</f>
        <v>0</v>
      </c>
      <c r="U91" s="226">
        <f>IF(U$79&gt;e_ecolifetime_yr,0,'2. Pathway 2'!$F$89*'Data - economic'!$I$44)</f>
        <v>0</v>
      </c>
      <c r="V91" s="226">
        <f>IF(V$79&gt;e_ecolifetime_yr,0,'2. Pathway 2'!$F$89*'Data - economic'!$I$44)</f>
        <v>0</v>
      </c>
      <c r="W91" s="226">
        <f>IF(W$79&gt;e_ecolifetime_yr,0,'2. Pathway 2'!$F$89*'Data - economic'!$I$44)</f>
        <v>0</v>
      </c>
      <c r="X91" s="226">
        <f>IF(X$79&gt;e_ecolifetime_yr,0,'2. Pathway 2'!$F$89*'Data - economic'!$I$44)</f>
        <v>0</v>
      </c>
      <c r="Y91" s="226">
        <f>IF(Y$79&gt;e_ecolifetime_yr,0,'2. Pathway 2'!$F$89*'Data - economic'!$I$44)</f>
        <v>0</v>
      </c>
      <c r="Z91" s="226">
        <f>IF(Z$79&gt;e_ecolifetime_yr,0,'2. Pathway 2'!$F$89*'Data - economic'!$I$44)</f>
        <v>0</v>
      </c>
      <c r="AA91" s="226">
        <f>IF(AA$79&gt;e_ecolifetime_yr,0,'2. Pathway 2'!$F$89*'Data - economic'!$I$44)</f>
        <v>0</v>
      </c>
      <c r="AB91" s="226">
        <f>IF(AB$79&gt;e_ecolifetime_yr,0,'2. Pathway 2'!$F$89*'Data - economic'!$I$44)</f>
        <v>0</v>
      </c>
      <c r="AC91" s="226">
        <f>IF(AC$79&gt;e_ecolifetime_yr,0,'2. Pathway 2'!$F$89*'Data - economic'!$I$44)</f>
        <v>0</v>
      </c>
      <c r="AD91" s="226">
        <f>IF(AD$79&gt;e_ecolifetime_yr,0,'2. Pathway 2'!$F$89*'Data - economic'!$I$44)</f>
        <v>0</v>
      </c>
      <c r="AE91" s="226">
        <f>IF(AE$79&gt;e_ecolifetime_yr,0,'2. Pathway 2'!$F$89*'Data - economic'!$I$44)</f>
        <v>0</v>
      </c>
      <c r="AF91" s="226">
        <f>IF(AF$79&gt;e_ecolifetime_yr,0,'2. Pathway 2'!$F$89*'Data - economic'!$I$44)</f>
        <v>0</v>
      </c>
      <c r="AG91" s="226">
        <f>IF(AG$79&gt;e_ecolifetime_yr,0,'2. Pathway 2'!$F$89*'Data - economic'!$I$44)</f>
        <v>0</v>
      </c>
      <c r="AH91" s="226">
        <f>IF(AH$79&gt;e_ecolifetime_yr,0,'2. Pathway 2'!$F$89*'Data - economic'!$I$44)</f>
        <v>0</v>
      </c>
      <c r="AI91" s="383">
        <f>IF(AI$79&gt;e_ecolifetime_yr,0,'2. Pathway 2'!$F$89*'Data - economic'!$I$44)</f>
        <v>0</v>
      </c>
    </row>
    <row r="92" spans="2:35" x14ac:dyDescent="0.2">
      <c r="B92" s="9"/>
      <c r="C92" s="21"/>
      <c r="D92" s="1" t="s">
        <v>306</v>
      </c>
      <c r="E92" s="226"/>
      <c r="F92" s="226">
        <f>IF(F$79&gt;e_ecolifetime_yr,0,'2. Pathway 2'!$F$89*'Data - economic'!$I$45)</f>
        <v>0</v>
      </c>
      <c r="G92" s="226">
        <f>IF(G$79&gt;e_ecolifetime_yr,0,'2. Pathway 2'!$F$89*'Data - economic'!$I$45)</f>
        <v>0</v>
      </c>
      <c r="H92" s="226">
        <f>IF(H$79&gt;e_ecolifetime_yr,0,'2. Pathway 2'!$F$89*'Data - economic'!$I$45)</f>
        <v>0</v>
      </c>
      <c r="I92" s="226">
        <f>IF(I$79&gt;e_ecolifetime_yr,0,'2. Pathway 2'!$F$89*'Data - economic'!$I$45)</f>
        <v>0</v>
      </c>
      <c r="J92" s="226">
        <f>IF(J$79&gt;e_ecolifetime_yr,0,'2. Pathway 2'!$F$89*'Data - economic'!$I$45)</f>
        <v>0</v>
      </c>
      <c r="K92" s="226">
        <f>IF(K$79&gt;e_ecolifetime_yr,0,'2. Pathway 2'!$F$89*'Data - economic'!$I$45)</f>
        <v>0</v>
      </c>
      <c r="L92" s="226">
        <f>IF(L$79&gt;e_ecolifetime_yr,0,'2. Pathway 2'!$F$89*'Data - economic'!$I$45)</f>
        <v>0</v>
      </c>
      <c r="M92" s="226">
        <f>IF(M$79&gt;e_ecolifetime_yr,0,'2. Pathway 2'!$F$89*'Data - economic'!$I$45)</f>
        <v>0</v>
      </c>
      <c r="N92" s="226">
        <f>IF(N$79&gt;e_ecolifetime_yr,0,'2. Pathway 2'!$F$89*'Data - economic'!$I$45)</f>
        <v>0</v>
      </c>
      <c r="O92" s="226">
        <f>IF(O$79&gt;e_ecolifetime_yr,0,'2. Pathway 2'!$F$89*'Data - economic'!$I$45)</f>
        <v>0</v>
      </c>
      <c r="P92" s="226">
        <f>IF(P$79&gt;e_ecolifetime_yr,0,'2. Pathway 2'!$F$89*'Data - economic'!$I$45)</f>
        <v>0</v>
      </c>
      <c r="Q92" s="226">
        <f>IF(Q$79&gt;e_ecolifetime_yr,0,'2. Pathway 2'!$F$89*'Data - economic'!$I$45)</f>
        <v>0</v>
      </c>
      <c r="R92" s="226">
        <f>IF(R$79&gt;e_ecolifetime_yr,0,'2. Pathway 2'!$F$89*'Data - economic'!$I$45)</f>
        <v>0</v>
      </c>
      <c r="S92" s="226">
        <f>IF(S$79&gt;e_ecolifetime_yr,0,'2. Pathway 2'!$F$89*'Data - economic'!$I$45)</f>
        <v>0</v>
      </c>
      <c r="T92" s="226">
        <f>IF(T$79&gt;e_ecolifetime_yr,0,'2. Pathway 2'!$F$89*'Data - economic'!$I$45)</f>
        <v>0</v>
      </c>
      <c r="U92" s="226">
        <f>IF(U$79&gt;e_ecolifetime_yr,0,'2. Pathway 2'!$F$89*'Data - economic'!$I$45)</f>
        <v>0</v>
      </c>
      <c r="V92" s="226">
        <f>IF(V$79&gt;e_ecolifetime_yr,0,'2. Pathway 2'!$F$89*'Data - economic'!$I$45)</f>
        <v>0</v>
      </c>
      <c r="W92" s="226">
        <f>IF(W$79&gt;e_ecolifetime_yr,0,'2. Pathway 2'!$F$89*'Data - economic'!$I$45)</f>
        <v>0</v>
      </c>
      <c r="X92" s="226">
        <f>IF(X$79&gt;e_ecolifetime_yr,0,'2. Pathway 2'!$F$89*'Data - economic'!$I$45)</f>
        <v>0</v>
      </c>
      <c r="Y92" s="226">
        <f>IF(Y$79&gt;e_ecolifetime_yr,0,'2. Pathway 2'!$F$89*'Data - economic'!$I$45)</f>
        <v>0</v>
      </c>
      <c r="Z92" s="226">
        <f>IF(Z$79&gt;e_ecolifetime_yr,0,'2. Pathway 2'!$F$89*'Data - economic'!$I$45)</f>
        <v>0</v>
      </c>
      <c r="AA92" s="226">
        <f>IF(AA$79&gt;e_ecolifetime_yr,0,'2. Pathway 2'!$F$89*'Data - economic'!$I$45)</f>
        <v>0</v>
      </c>
      <c r="AB92" s="226">
        <f>IF(AB$79&gt;e_ecolifetime_yr,0,'2. Pathway 2'!$F$89*'Data - economic'!$I$45)</f>
        <v>0</v>
      </c>
      <c r="AC92" s="226">
        <f>IF(AC$79&gt;e_ecolifetime_yr,0,'2. Pathway 2'!$F$89*'Data - economic'!$I$45)</f>
        <v>0</v>
      </c>
      <c r="AD92" s="226">
        <f>IF(AD$79&gt;e_ecolifetime_yr,0,'2. Pathway 2'!$F$89*'Data - economic'!$I$45)</f>
        <v>0</v>
      </c>
      <c r="AE92" s="226">
        <f>IF(AE$79&gt;e_ecolifetime_yr,0,'2. Pathway 2'!$F$89*'Data - economic'!$I$45)</f>
        <v>0</v>
      </c>
      <c r="AF92" s="226">
        <f>IF(AF$79&gt;e_ecolifetime_yr,0,'2. Pathway 2'!$F$89*'Data - economic'!$I$45)</f>
        <v>0</v>
      </c>
      <c r="AG92" s="226">
        <f>IF(AG$79&gt;e_ecolifetime_yr,0,'2. Pathway 2'!$F$89*'Data - economic'!$I$45)</f>
        <v>0</v>
      </c>
      <c r="AH92" s="226">
        <f>IF(AH$79&gt;e_ecolifetime_yr,0,'2. Pathway 2'!$F$89*'Data - economic'!$I$45)</f>
        <v>0</v>
      </c>
      <c r="AI92" s="383">
        <f>IF(AI$79&gt;e_ecolifetime_yr,0,'2. Pathway 2'!$F$89*'Data - economic'!$I$45)</f>
        <v>0</v>
      </c>
    </row>
    <row r="93" spans="2:35" x14ac:dyDescent="0.2">
      <c r="B93" s="9"/>
      <c r="C93" s="21"/>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8"/>
    </row>
    <row r="94" spans="2:35" x14ac:dyDescent="0.2">
      <c r="B94" s="9"/>
      <c r="C94" s="21"/>
      <c r="E94" s="226"/>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8"/>
    </row>
    <row r="95" spans="2:35" x14ac:dyDescent="0.2">
      <c r="B95" s="9"/>
      <c r="C95" s="21" t="s">
        <v>47</v>
      </c>
      <c r="D95" s="1" t="s">
        <v>623</v>
      </c>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8"/>
    </row>
    <row r="96" spans="2:35" x14ac:dyDescent="0.2">
      <c r="B96" s="9"/>
      <c r="C96" s="21"/>
      <c r="D96" s="1" t="s">
        <v>320</v>
      </c>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8"/>
    </row>
    <row r="97" spans="2:35" x14ac:dyDescent="0.2">
      <c r="B97" s="9"/>
      <c r="C97" s="21"/>
      <c r="D97" s="1" t="s">
        <v>387</v>
      </c>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8"/>
    </row>
    <row r="98" spans="2:35" x14ac:dyDescent="0.2">
      <c r="B98" s="9"/>
      <c r="C98" s="21"/>
      <c r="D98" s="1" t="s">
        <v>151</v>
      </c>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8"/>
    </row>
    <row r="99" spans="2:35" x14ac:dyDescent="0.2">
      <c r="B99" s="9"/>
      <c r="C99" s="21"/>
      <c r="D99" s="1" t="s">
        <v>624</v>
      </c>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8"/>
    </row>
    <row r="100" spans="2:35" x14ac:dyDescent="0.2">
      <c r="B100" s="9"/>
      <c r="C100" s="21"/>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8"/>
    </row>
    <row r="101" spans="2:35" x14ac:dyDescent="0.2">
      <c r="B101" s="9"/>
      <c r="C101" s="21" t="s">
        <v>47</v>
      </c>
      <c r="D101" s="1" t="s">
        <v>623</v>
      </c>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8"/>
    </row>
    <row r="102" spans="2:35" x14ac:dyDescent="0.2">
      <c r="B102" s="9"/>
      <c r="C102" s="21"/>
      <c r="D102" s="1" t="s">
        <v>320</v>
      </c>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8"/>
    </row>
    <row r="103" spans="2:35" x14ac:dyDescent="0.2">
      <c r="B103" s="9"/>
      <c r="C103" s="21"/>
      <c r="D103" s="1" t="s">
        <v>387</v>
      </c>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8"/>
    </row>
    <row r="104" spans="2:35" x14ac:dyDescent="0.2">
      <c r="B104" s="9"/>
      <c r="C104" s="21"/>
      <c r="D104" s="1" t="s">
        <v>151</v>
      </c>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8"/>
    </row>
    <row r="105" spans="2:35" x14ac:dyDescent="0.2">
      <c r="B105" s="9"/>
      <c r="C105" s="21"/>
      <c r="D105" s="1" t="s">
        <v>624</v>
      </c>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8"/>
    </row>
    <row r="106" spans="2:35" x14ac:dyDescent="0.2">
      <c r="B106" s="9"/>
      <c r="C106" s="21"/>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8"/>
    </row>
    <row r="107" spans="2:35" x14ac:dyDescent="0.2">
      <c r="B107" s="9"/>
      <c r="C107" s="21"/>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8"/>
    </row>
    <row r="108" spans="2:35" s="6" customFormat="1" x14ac:dyDescent="0.2">
      <c r="B108" s="8" t="s">
        <v>329</v>
      </c>
      <c r="C108" s="80"/>
      <c r="D108" s="8"/>
      <c r="E108" s="221"/>
      <c r="F108" s="221">
        <f>SUM(F109:F113)</f>
        <v>0</v>
      </c>
      <c r="G108" s="221">
        <f t="shared" ref="G108:AI108" si="2">SUM(G109:G113)</f>
        <v>0</v>
      </c>
      <c r="H108" s="221">
        <f t="shared" si="2"/>
        <v>0</v>
      </c>
      <c r="I108" s="221">
        <f t="shared" si="2"/>
        <v>0</v>
      </c>
      <c r="J108" s="221">
        <f t="shared" si="2"/>
        <v>0</v>
      </c>
      <c r="K108" s="221">
        <f t="shared" si="2"/>
        <v>0</v>
      </c>
      <c r="L108" s="221">
        <f t="shared" si="2"/>
        <v>0</v>
      </c>
      <c r="M108" s="221">
        <f t="shared" si="2"/>
        <v>0</v>
      </c>
      <c r="N108" s="221">
        <f t="shared" si="2"/>
        <v>0</v>
      </c>
      <c r="O108" s="221">
        <f t="shared" si="2"/>
        <v>0</v>
      </c>
      <c r="P108" s="221">
        <f t="shared" si="2"/>
        <v>0</v>
      </c>
      <c r="Q108" s="221">
        <f t="shared" si="2"/>
        <v>0</v>
      </c>
      <c r="R108" s="221">
        <f t="shared" si="2"/>
        <v>0</v>
      </c>
      <c r="S108" s="221">
        <f t="shared" si="2"/>
        <v>0</v>
      </c>
      <c r="T108" s="221">
        <f t="shared" si="2"/>
        <v>0</v>
      </c>
      <c r="U108" s="221">
        <f t="shared" si="2"/>
        <v>0</v>
      </c>
      <c r="V108" s="221">
        <f t="shared" si="2"/>
        <v>0</v>
      </c>
      <c r="W108" s="221">
        <f t="shared" si="2"/>
        <v>0</v>
      </c>
      <c r="X108" s="221">
        <f t="shared" si="2"/>
        <v>0</v>
      </c>
      <c r="Y108" s="221">
        <f t="shared" si="2"/>
        <v>0</v>
      </c>
      <c r="Z108" s="221">
        <f t="shared" si="2"/>
        <v>0</v>
      </c>
      <c r="AA108" s="221">
        <f t="shared" si="2"/>
        <v>0</v>
      </c>
      <c r="AB108" s="221">
        <f t="shared" si="2"/>
        <v>0</v>
      </c>
      <c r="AC108" s="221">
        <f t="shared" si="2"/>
        <v>0</v>
      </c>
      <c r="AD108" s="221">
        <f t="shared" si="2"/>
        <v>0</v>
      </c>
      <c r="AE108" s="221">
        <f t="shared" si="2"/>
        <v>0</v>
      </c>
      <c r="AF108" s="221">
        <f t="shared" si="2"/>
        <v>0</v>
      </c>
      <c r="AG108" s="221">
        <f t="shared" si="2"/>
        <v>0</v>
      </c>
      <c r="AH108" s="221">
        <f t="shared" si="2"/>
        <v>0</v>
      </c>
      <c r="AI108" s="222">
        <f t="shared" si="2"/>
        <v>0</v>
      </c>
    </row>
    <row r="109" spans="2:35" x14ac:dyDescent="0.2">
      <c r="B109" s="9"/>
      <c r="C109" s="21" t="s">
        <v>47</v>
      </c>
      <c r="D109" s="1" t="s">
        <v>333</v>
      </c>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8"/>
    </row>
    <row r="110" spans="2:35" x14ac:dyDescent="0.2">
      <c r="B110" s="9"/>
      <c r="C110" s="21"/>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8"/>
    </row>
    <row r="111" spans="2:35" x14ac:dyDescent="0.2">
      <c r="B111" s="9"/>
      <c r="C111" s="21"/>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8"/>
    </row>
    <row r="112" spans="2:35" x14ac:dyDescent="0.2">
      <c r="B112" s="9"/>
      <c r="C112" s="21" t="s">
        <v>447</v>
      </c>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8"/>
    </row>
    <row r="113" spans="2:35" x14ac:dyDescent="0.2">
      <c r="B113" s="9"/>
      <c r="C113" s="21"/>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8"/>
    </row>
    <row r="114" spans="2:35" s="6" customFormat="1" x14ac:dyDescent="0.2">
      <c r="B114" s="10" t="s">
        <v>448</v>
      </c>
      <c r="C114" s="83"/>
      <c r="D114" s="10"/>
      <c r="E114" s="84"/>
      <c r="F114" s="84">
        <f t="shared" ref="F114:AI114" si="3">F108-F86-F80</f>
        <v>0</v>
      </c>
      <c r="G114" s="84">
        <f t="shared" si="3"/>
        <v>0</v>
      </c>
      <c r="H114" s="84">
        <f t="shared" si="3"/>
        <v>0</v>
      </c>
      <c r="I114" s="84">
        <f t="shared" si="3"/>
        <v>0</v>
      </c>
      <c r="J114" s="84">
        <f t="shared" si="3"/>
        <v>0</v>
      </c>
      <c r="K114" s="84">
        <f t="shared" si="3"/>
        <v>0</v>
      </c>
      <c r="L114" s="84">
        <f t="shared" si="3"/>
        <v>0</v>
      </c>
      <c r="M114" s="84">
        <f t="shared" si="3"/>
        <v>0</v>
      </c>
      <c r="N114" s="84">
        <f t="shared" si="3"/>
        <v>0</v>
      </c>
      <c r="O114" s="84">
        <f t="shared" si="3"/>
        <v>0</v>
      </c>
      <c r="P114" s="84">
        <f t="shared" si="3"/>
        <v>0</v>
      </c>
      <c r="Q114" s="84">
        <f t="shared" si="3"/>
        <v>0</v>
      </c>
      <c r="R114" s="84">
        <f t="shared" si="3"/>
        <v>0</v>
      </c>
      <c r="S114" s="84">
        <f t="shared" si="3"/>
        <v>0</v>
      </c>
      <c r="T114" s="84">
        <f t="shared" si="3"/>
        <v>0</v>
      </c>
      <c r="U114" s="84">
        <f t="shared" si="3"/>
        <v>0</v>
      </c>
      <c r="V114" s="84">
        <f t="shared" si="3"/>
        <v>0</v>
      </c>
      <c r="W114" s="84">
        <f t="shared" si="3"/>
        <v>0</v>
      </c>
      <c r="X114" s="84">
        <f t="shared" si="3"/>
        <v>0</v>
      </c>
      <c r="Y114" s="84">
        <f t="shared" si="3"/>
        <v>0</v>
      </c>
      <c r="Z114" s="84">
        <f t="shared" si="3"/>
        <v>0</v>
      </c>
      <c r="AA114" s="84">
        <f t="shared" si="3"/>
        <v>0</v>
      </c>
      <c r="AB114" s="84">
        <f t="shared" si="3"/>
        <v>0</v>
      </c>
      <c r="AC114" s="84">
        <f t="shared" si="3"/>
        <v>0</v>
      </c>
      <c r="AD114" s="84">
        <f t="shared" si="3"/>
        <v>0</v>
      </c>
      <c r="AE114" s="84">
        <f t="shared" si="3"/>
        <v>0</v>
      </c>
      <c r="AF114" s="84">
        <f t="shared" si="3"/>
        <v>0</v>
      </c>
      <c r="AG114" s="84">
        <f t="shared" si="3"/>
        <v>0</v>
      </c>
      <c r="AH114" s="84">
        <f t="shared" si="3"/>
        <v>0</v>
      </c>
      <c r="AI114" s="368">
        <f t="shared" si="3"/>
        <v>0</v>
      </c>
    </row>
    <row r="115" spans="2:35" x14ac:dyDescent="0.2">
      <c r="B115" s="8" t="s">
        <v>449</v>
      </c>
      <c r="C115" s="21" t="s">
        <v>47</v>
      </c>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8"/>
    </row>
    <row r="116" spans="2:35" x14ac:dyDescent="0.2">
      <c r="B116" s="9"/>
      <c r="C116" s="21" t="s">
        <v>47</v>
      </c>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8"/>
    </row>
    <row r="117" spans="2:35" x14ac:dyDescent="0.2">
      <c r="B117" s="9"/>
      <c r="C117" s="21"/>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8"/>
    </row>
    <row r="118" spans="2:35" x14ac:dyDescent="0.2">
      <c r="B118" s="9"/>
      <c r="C118" s="21"/>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8"/>
    </row>
    <row r="119" spans="2:35" x14ac:dyDescent="0.2">
      <c r="B119" s="9"/>
      <c r="C119" s="21"/>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8"/>
    </row>
    <row r="120" spans="2:35" x14ac:dyDescent="0.2">
      <c r="B120" s="39" t="s">
        <v>450</v>
      </c>
      <c r="C120" s="21"/>
      <c r="D120" s="9"/>
      <c r="E120" s="231"/>
      <c r="F120" s="231">
        <f>SUM(F115:F119)</f>
        <v>0</v>
      </c>
      <c r="G120" s="231">
        <f t="shared" ref="G120:AI120" si="4">SUM(G115:G119)</f>
        <v>0</v>
      </c>
      <c r="H120" s="231">
        <f t="shared" si="4"/>
        <v>0</v>
      </c>
      <c r="I120" s="231">
        <f t="shared" si="4"/>
        <v>0</v>
      </c>
      <c r="J120" s="231">
        <f t="shared" si="4"/>
        <v>0</v>
      </c>
      <c r="K120" s="231">
        <f t="shared" si="4"/>
        <v>0</v>
      </c>
      <c r="L120" s="231">
        <f t="shared" si="4"/>
        <v>0</v>
      </c>
      <c r="M120" s="231">
        <f t="shared" si="4"/>
        <v>0</v>
      </c>
      <c r="N120" s="231">
        <f t="shared" si="4"/>
        <v>0</v>
      </c>
      <c r="O120" s="231">
        <f t="shared" si="4"/>
        <v>0</v>
      </c>
      <c r="P120" s="231">
        <f t="shared" si="4"/>
        <v>0</v>
      </c>
      <c r="Q120" s="231">
        <f t="shared" si="4"/>
        <v>0</v>
      </c>
      <c r="R120" s="231">
        <f t="shared" si="4"/>
        <v>0</v>
      </c>
      <c r="S120" s="231">
        <f t="shared" si="4"/>
        <v>0</v>
      </c>
      <c r="T120" s="231">
        <f t="shared" si="4"/>
        <v>0</v>
      </c>
      <c r="U120" s="231">
        <f t="shared" si="4"/>
        <v>0</v>
      </c>
      <c r="V120" s="231">
        <f t="shared" si="4"/>
        <v>0</v>
      </c>
      <c r="W120" s="231">
        <f t="shared" si="4"/>
        <v>0</v>
      </c>
      <c r="X120" s="231">
        <f t="shared" si="4"/>
        <v>0</v>
      </c>
      <c r="Y120" s="231">
        <f t="shared" si="4"/>
        <v>0</v>
      </c>
      <c r="Z120" s="231">
        <f t="shared" si="4"/>
        <v>0</v>
      </c>
      <c r="AA120" s="231">
        <f t="shared" si="4"/>
        <v>0</v>
      </c>
      <c r="AB120" s="231">
        <f t="shared" si="4"/>
        <v>0</v>
      </c>
      <c r="AC120" s="231">
        <f t="shared" si="4"/>
        <v>0</v>
      </c>
      <c r="AD120" s="231">
        <f t="shared" si="4"/>
        <v>0</v>
      </c>
      <c r="AE120" s="231">
        <f t="shared" si="4"/>
        <v>0</v>
      </c>
      <c r="AF120" s="231">
        <f t="shared" si="4"/>
        <v>0</v>
      </c>
      <c r="AG120" s="231">
        <f t="shared" si="4"/>
        <v>0</v>
      </c>
      <c r="AH120" s="231">
        <f t="shared" si="4"/>
        <v>0</v>
      </c>
      <c r="AI120" s="232">
        <f t="shared" si="4"/>
        <v>0</v>
      </c>
    </row>
    <row r="121" spans="2:35" x14ac:dyDescent="0.2">
      <c r="B121" s="39" t="s">
        <v>451</v>
      </c>
      <c r="C121" s="9"/>
      <c r="E121" s="226" cm="1">
        <f t="array" ref="E121">e_debt_ratio*'3. Pathway 3'!E80</f>
        <v>0</v>
      </c>
      <c r="F121" s="226" cm="1">
        <f t="array" ref="F121">IF(F79&gt;e_ecolifetime_yr,0,E121*e_interestrate)</f>
        <v>0</v>
      </c>
      <c r="G121" s="226" cm="1">
        <f t="array" ref="G121">IF(G79&gt;e_ecolifetime_yr,0,($E$121-(F122*F79))*e_interestrate)</f>
        <v>0</v>
      </c>
      <c r="H121" s="226" cm="1">
        <f t="array" ref="H121">IF(H79&gt;e_ecolifetime_yr,0,($E$121-(G122*G79))*e_interestrate)</f>
        <v>0</v>
      </c>
      <c r="I121" s="226" cm="1">
        <f t="array" ref="I121">IF(I79&gt;e_ecolifetime_yr,0,($E$121-(H122*H79))*e_interestrate)</f>
        <v>0</v>
      </c>
      <c r="J121" s="226" cm="1">
        <f t="array" ref="J121">IF(J79&gt;e_ecolifetime_yr,0,($E$121-(I122*I79))*e_interestrate)</f>
        <v>0</v>
      </c>
      <c r="K121" s="226" cm="1">
        <f t="array" ref="K121">IF(K79&gt;e_ecolifetime_yr,0,($E$121-(J122*J79))*e_interestrate)</f>
        <v>0</v>
      </c>
      <c r="L121" s="226" cm="1">
        <f t="array" ref="L121">IF(L79&gt;e_ecolifetime_yr,0,($E$121-(K122*K79))*e_interestrate)</f>
        <v>0</v>
      </c>
      <c r="M121" s="226" cm="1">
        <f t="array" ref="M121">IF(M79&gt;e_ecolifetime_yr,0,($E$121-(L122*L79))*e_interestrate)</f>
        <v>0</v>
      </c>
      <c r="N121" s="226" cm="1">
        <f t="array" ref="N121">IF(N79&gt;e_ecolifetime_yr,0,($E$121-(M122*M79))*e_interestrate)</f>
        <v>0</v>
      </c>
      <c r="O121" s="226" cm="1">
        <f t="array" ref="O121">IF(O79&gt;e_ecolifetime_yr,0,($E$121-(N122*N79))*e_interestrate)</f>
        <v>0</v>
      </c>
      <c r="P121" s="226" cm="1">
        <f t="array" ref="P121">IF(P79&gt;e_ecolifetime_yr,0,($E$121-(O122*O79))*e_interestrate)</f>
        <v>0</v>
      </c>
      <c r="Q121" s="226" cm="1">
        <f t="array" ref="Q121">IF(Q79&gt;e_ecolifetime_yr,0,($E$121-(P122*P79))*e_interestrate)</f>
        <v>0</v>
      </c>
      <c r="R121" s="226" cm="1">
        <f t="array" ref="R121">IF(R79&gt;e_ecolifetime_yr,0,($E$121-(Q122*Q79))*e_interestrate)</f>
        <v>0</v>
      </c>
      <c r="S121" s="226" cm="1">
        <f t="array" ref="S121">IF(S79&gt;e_ecolifetime_yr,0,($E$121-(R122*R79))*e_interestrate)</f>
        <v>0</v>
      </c>
      <c r="T121" s="226" cm="1">
        <f t="array" ref="T121">IF(T79&gt;e_ecolifetime_yr,0,($E$121-(S122*S79))*e_interestrate)</f>
        <v>0</v>
      </c>
      <c r="U121" s="226" cm="1">
        <f t="array" ref="U121">IF(U79&gt;e_ecolifetime_yr,0,($E$121-(T122*T79))*e_interestrate)</f>
        <v>0</v>
      </c>
      <c r="V121" s="226" cm="1">
        <f t="array" ref="V121">IF(V79&gt;e_ecolifetime_yr,0,($E$121-(U122*U79))*e_interestrate)</f>
        <v>0</v>
      </c>
      <c r="W121" s="226" cm="1">
        <f t="array" ref="W121">IF(W79&gt;e_ecolifetime_yr,0,($E$121-(V122*V79))*e_interestrate)</f>
        <v>0</v>
      </c>
      <c r="X121" s="226" cm="1">
        <f t="array" ref="X121">IF(X79&gt;e_ecolifetime_yr,0,($E$121-(W122*W79))*e_interestrate)</f>
        <v>0</v>
      </c>
      <c r="Y121" s="226" cm="1">
        <f t="array" ref="Y121">IF(Y79&gt;e_ecolifetime_yr,0,($E$121-(X122*X79))*e_interestrate)</f>
        <v>0</v>
      </c>
      <c r="Z121" s="226" cm="1">
        <f t="array" ref="Z121">IF(Z79&gt;e_ecolifetime_yr,0,($E$121-(Y122*Y79))*e_interestrate)</f>
        <v>0</v>
      </c>
      <c r="AA121" s="226" cm="1">
        <f t="array" ref="AA121">IF(AA79&gt;e_ecolifetime_yr,0,($E$121-(Z122*Z79))*e_interestrate)</f>
        <v>0</v>
      </c>
      <c r="AB121" s="226" cm="1">
        <f t="array" ref="AB121">IF(AB79&gt;e_ecolifetime_yr,0,($E$121-(AA122*AA79))*e_interestrate)</f>
        <v>0</v>
      </c>
      <c r="AC121" s="226" cm="1">
        <f t="array" ref="AC121">IF(AC79&gt;e_ecolifetime_yr,0,($E$121-(AB122*AB79))*e_interestrate)</f>
        <v>0</v>
      </c>
      <c r="AD121" s="226" cm="1">
        <f t="array" ref="AD121">IF(AD79&gt;e_ecolifetime_yr,0,($E$121-(AC122*AC79))*e_interestrate)</f>
        <v>0</v>
      </c>
      <c r="AE121" s="226" cm="1">
        <f t="array" ref="AE121">IF(AE79&gt;e_ecolifetime_yr,0,($E$121-(AD122*AD79))*e_interestrate)</f>
        <v>0</v>
      </c>
      <c r="AF121" s="226" cm="1">
        <f t="array" ref="AF121">IF(AF79&gt;e_ecolifetime_yr,0,($E$121-(AE122*AE79))*e_interestrate)</f>
        <v>0</v>
      </c>
      <c r="AG121" s="226" cm="1">
        <f t="array" ref="AG121">IF(AG79&gt;e_ecolifetime_yr,0,($E$121-(AF122*AF79))*e_interestrate)</f>
        <v>0</v>
      </c>
      <c r="AH121" s="226" cm="1">
        <f t="array" ref="AH121">IF(AH79&gt;e_ecolifetime_yr,0,($E$121-(AG122*AG79))*e_interestrate)</f>
        <v>0</v>
      </c>
      <c r="AI121" s="228" cm="1">
        <f t="array" ref="AI121">IF(AI79&gt;e_ecolifetime_yr,0,($E$121-(AH122*AH79))*e_interestrate)</f>
        <v>0</v>
      </c>
    </row>
    <row r="122" spans="2:35" x14ac:dyDescent="0.2">
      <c r="B122" s="39" t="s">
        <v>452</v>
      </c>
      <c r="C122" s="9"/>
      <c r="E122" s="226"/>
      <c r="F122" s="226" cm="1">
        <f t="array" ref="F122">IF(F79&gt;e_ecolifetime_yr,0,$E$121/e_ecolifetime_yr)</f>
        <v>0</v>
      </c>
      <c r="G122" s="226" cm="1">
        <f t="array" ref="G122">IF(G79&gt;e_ecolifetime_yr,0,$E$121/e_ecolifetime_yr)</f>
        <v>0</v>
      </c>
      <c r="H122" s="226" cm="1">
        <f t="array" ref="H122">IF(H79&gt;e_ecolifetime_yr,0,$E$121/e_ecolifetime_yr)</f>
        <v>0</v>
      </c>
      <c r="I122" s="226" cm="1">
        <f t="array" ref="I122">IF(I79&gt;e_ecolifetime_yr,0,$E$121/e_ecolifetime_yr)</f>
        <v>0</v>
      </c>
      <c r="J122" s="226" cm="1">
        <f t="array" ref="J122">IF(J79&gt;e_ecolifetime_yr,0,$E$121/e_ecolifetime_yr)</f>
        <v>0</v>
      </c>
      <c r="K122" s="226" cm="1">
        <f t="array" ref="K122">IF(K79&gt;e_ecolifetime_yr,0,$E$121/e_ecolifetime_yr)</f>
        <v>0</v>
      </c>
      <c r="L122" s="226" cm="1">
        <f t="array" ref="L122">IF(L79&gt;e_ecolifetime_yr,0,$E$121/e_ecolifetime_yr)</f>
        <v>0</v>
      </c>
      <c r="M122" s="226" cm="1">
        <f t="array" ref="M122">IF(M79&gt;e_ecolifetime_yr,0,$E$121/e_ecolifetime_yr)</f>
        <v>0</v>
      </c>
      <c r="N122" s="226" cm="1">
        <f t="array" ref="N122">IF(N79&gt;e_ecolifetime_yr,0,$E$121/e_ecolifetime_yr)</f>
        <v>0</v>
      </c>
      <c r="O122" s="226" cm="1">
        <f t="array" ref="O122">IF(O79&gt;e_ecolifetime_yr,0,$E$121/e_ecolifetime_yr)</f>
        <v>0</v>
      </c>
      <c r="P122" s="226" cm="1">
        <f t="array" ref="P122">IF(P79&gt;e_ecolifetime_yr,0,$E$121/e_ecolifetime_yr)</f>
        <v>0</v>
      </c>
      <c r="Q122" s="226" cm="1">
        <f t="array" ref="Q122">IF(Q79&gt;e_ecolifetime_yr,0,$E$121/e_ecolifetime_yr)</f>
        <v>0</v>
      </c>
      <c r="R122" s="226" cm="1">
        <f t="array" ref="R122">IF(R79&gt;e_ecolifetime_yr,0,$E$121/e_ecolifetime_yr)</f>
        <v>0</v>
      </c>
      <c r="S122" s="226" cm="1">
        <f t="array" ref="S122">IF(S79&gt;e_ecolifetime_yr,0,$E$121/e_ecolifetime_yr)</f>
        <v>0</v>
      </c>
      <c r="T122" s="226" cm="1">
        <f t="array" ref="T122">IF(T79&gt;e_ecolifetime_yr,0,$E$121/e_ecolifetime_yr)</f>
        <v>0</v>
      </c>
      <c r="U122" s="226" cm="1">
        <f t="array" ref="U122">IF(U79&gt;e_ecolifetime_yr,0,$E$121/e_ecolifetime_yr)</f>
        <v>0</v>
      </c>
      <c r="V122" s="226" cm="1">
        <f t="array" ref="V122">IF(V79&gt;e_ecolifetime_yr,0,$E$121/e_ecolifetime_yr)</f>
        <v>0</v>
      </c>
      <c r="W122" s="226" cm="1">
        <f t="array" ref="W122">IF(W79&gt;e_ecolifetime_yr,0,$E$121/e_ecolifetime_yr)</f>
        <v>0</v>
      </c>
      <c r="X122" s="226" cm="1">
        <f t="array" ref="X122">IF(X79&gt;e_ecolifetime_yr,0,$E$121/e_ecolifetime_yr)</f>
        <v>0</v>
      </c>
      <c r="Y122" s="226" cm="1">
        <f t="array" ref="Y122">IF(Y79&gt;e_ecolifetime_yr,0,$E$121/e_ecolifetime_yr)</f>
        <v>0</v>
      </c>
      <c r="Z122" s="226" cm="1">
        <f t="array" ref="Z122">IF(Z79&gt;e_ecolifetime_yr,0,$E$121/e_ecolifetime_yr)</f>
        <v>0</v>
      </c>
      <c r="AA122" s="226" cm="1">
        <f t="array" ref="AA122">IF(AA79&gt;e_ecolifetime_yr,0,$E$121/e_ecolifetime_yr)</f>
        <v>0</v>
      </c>
      <c r="AB122" s="226" cm="1">
        <f t="array" ref="AB122">IF(AB79&gt;e_ecolifetime_yr,0,$E$121/e_ecolifetime_yr)</f>
        <v>0</v>
      </c>
      <c r="AC122" s="226" cm="1">
        <f t="array" ref="AC122">IF(AC79&gt;e_ecolifetime_yr,0,$E$121/e_ecolifetime_yr)</f>
        <v>0</v>
      </c>
      <c r="AD122" s="226" cm="1">
        <f t="array" ref="AD122">IF(AD79&gt;e_ecolifetime_yr,0,$E$121/e_ecolifetime_yr)</f>
        <v>0</v>
      </c>
      <c r="AE122" s="226" cm="1">
        <f t="array" ref="AE122">IF(AE79&gt;e_ecolifetime_yr,0,$E$121/e_ecolifetime_yr)</f>
        <v>0</v>
      </c>
      <c r="AF122" s="226" cm="1">
        <f t="array" ref="AF122">IF(AF79&gt;e_ecolifetime_yr,0,$E$121/e_ecolifetime_yr)</f>
        <v>0</v>
      </c>
      <c r="AG122" s="226" cm="1">
        <f t="array" ref="AG122">IF(AG79&gt;e_ecolifetime_yr,0,$E$121/e_ecolifetime_yr)</f>
        <v>0</v>
      </c>
      <c r="AH122" s="226" cm="1">
        <f t="array" ref="AH122">IF(AH79&gt;e_ecolifetime_yr,0,$E$121/e_ecolifetime_yr)</f>
        <v>0</v>
      </c>
      <c r="AI122" s="228" cm="1">
        <f t="array" ref="AI122">IF(AI79&gt;e_ecolifetime_yr,0,$E$121/e_ecolifetime_yr)</f>
        <v>0</v>
      </c>
    </row>
    <row r="123" spans="2:35" x14ac:dyDescent="0.2">
      <c r="B123" s="234" t="s">
        <v>453</v>
      </c>
      <c r="C123" s="41"/>
      <c r="D123" s="41"/>
      <c r="E123" s="236"/>
      <c r="F123" s="236">
        <f>IF(F114-F120&gt;0,F114-F120,0)</f>
        <v>0</v>
      </c>
      <c r="G123" s="236">
        <f t="shared" ref="G123:AI123" si="5">IF(G114-G120&gt;0,G114-G120,0)</f>
        <v>0</v>
      </c>
      <c r="H123" s="236">
        <f t="shared" si="5"/>
        <v>0</v>
      </c>
      <c r="I123" s="236">
        <f t="shared" si="5"/>
        <v>0</v>
      </c>
      <c r="J123" s="236">
        <f t="shared" si="5"/>
        <v>0</v>
      </c>
      <c r="K123" s="236">
        <f t="shared" si="5"/>
        <v>0</v>
      </c>
      <c r="L123" s="236">
        <f t="shared" si="5"/>
        <v>0</v>
      </c>
      <c r="M123" s="236">
        <f t="shared" si="5"/>
        <v>0</v>
      </c>
      <c r="N123" s="236">
        <f t="shared" si="5"/>
        <v>0</v>
      </c>
      <c r="O123" s="236">
        <f t="shared" si="5"/>
        <v>0</v>
      </c>
      <c r="P123" s="236">
        <f t="shared" si="5"/>
        <v>0</v>
      </c>
      <c r="Q123" s="236">
        <f t="shared" si="5"/>
        <v>0</v>
      </c>
      <c r="R123" s="236">
        <f t="shared" si="5"/>
        <v>0</v>
      </c>
      <c r="S123" s="236">
        <f t="shared" si="5"/>
        <v>0</v>
      </c>
      <c r="T123" s="236">
        <f t="shared" si="5"/>
        <v>0</v>
      </c>
      <c r="U123" s="236">
        <f t="shared" si="5"/>
        <v>0</v>
      </c>
      <c r="V123" s="236">
        <f t="shared" si="5"/>
        <v>0</v>
      </c>
      <c r="W123" s="236">
        <f t="shared" si="5"/>
        <v>0</v>
      </c>
      <c r="X123" s="236">
        <f t="shared" si="5"/>
        <v>0</v>
      </c>
      <c r="Y123" s="236">
        <f t="shared" si="5"/>
        <v>0</v>
      </c>
      <c r="Z123" s="236">
        <f t="shared" si="5"/>
        <v>0</v>
      </c>
      <c r="AA123" s="236">
        <f t="shared" si="5"/>
        <v>0</v>
      </c>
      <c r="AB123" s="236">
        <f t="shared" si="5"/>
        <v>0</v>
      </c>
      <c r="AC123" s="236">
        <f t="shared" si="5"/>
        <v>0</v>
      </c>
      <c r="AD123" s="236">
        <f t="shared" si="5"/>
        <v>0</v>
      </c>
      <c r="AE123" s="236">
        <f t="shared" si="5"/>
        <v>0</v>
      </c>
      <c r="AF123" s="236">
        <f t="shared" si="5"/>
        <v>0</v>
      </c>
      <c r="AG123" s="236">
        <f t="shared" si="5"/>
        <v>0</v>
      </c>
      <c r="AH123" s="236">
        <f t="shared" si="5"/>
        <v>0</v>
      </c>
      <c r="AI123" s="237">
        <f t="shared" si="5"/>
        <v>0</v>
      </c>
    </row>
    <row r="124" spans="2:35" x14ac:dyDescent="0.2">
      <c r="B124" s="39" t="s">
        <v>454</v>
      </c>
      <c r="C124" s="9"/>
      <c r="D124" s="9"/>
      <c r="E124" s="231"/>
      <c r="F124" s="231">
        <f>F114-F121-F122</f>
        <v>0</v>
      </c>
      <c r="G124" s="231">
        <f t="shared" ref="G124:AI124" si="6">G114-G121-G122</f>
        <v>0</v>
      </c>
      <c r="H124" s="231">
        <f t="shared" si="6"/>
        <v>0</v>
      </c>
      <c r="I124" s="231">
        <f t="shared" si="6"/>
        <v>0</v>
      </c>
      <c r="J124" s="231">
        <f t="shared" si="6"/>
        <v>0</v>
      </c>
      <c r="K124" s="231">
        <f t="shared" si="6"/>
        <v>0</v>
      </c>
      <c r="L124" s="231">
        <f t="shared" si="6"/>
        <v>0</v>
      </c>
      <c r="M124" s="231">
        <f t="shared" si="6"/>
        <v>0</v>
      </c>
      <c r="N124" s="231">
        <f t="shared" si="6"/>
        <v>0</v>
      </c>
      <c r="O124" s="231">
        <f t="shared" si="6"/>
        <v>0</v>
      </c>
      <c r="P124" s="231">
        <f t="shared" si="6"/>
        <v>0</v>
      </c>
      <c r="Q124" s="231">
        <f t="shared" si="6"/>
        <v>0</v>
      </c>
      <c r="R124" s="231">
        <f t="shared" si="6"/>
        <v>0</v>
      </c>
      <c r="S124" s="231">
        <f t="shared" si="6"/>
        <v>0</v>
      </c>
      <c r="T124" s="231">
        <f t="shared" si="6"/>
        <v>0</v>
      </c>
      <c r="U124" s="231">
        <f t="shared" si="6"/>
        <v>0</v>
      </c>
      <c r="V124" s="231">
        <f t="shared" si="6"/>
        <v>0</v>
      </c>
      <c r="W124" s="231">
        <f t="shared" si="6"/>
        <v>0</v>
      </c>
      <c r="X124" s="231">
        <f t="shared" si="6"/>
        <v>0</v>
      </c>
      <c r="Y124" s="231">
        <f t="shared" si="6"/>
        <v>0</v>
      </c>
      <c r="Z124" s="231">
        <f t="shared" si="6"/>
        <v>0</v>
      </c>
      <c r="AA124" s="231">
        <f t="shared" si="6"/>
        <v>0</v>
      </c>
      <c r="AB124" s="231">
        <f t="shared" si="6"/>
        <v>0</v>
      </c>
      <c r="AC124" s="231">
        <f t="shared" si="6"/>
        <v>0</v>
      </c>
      <c r="AD124" s="231">
        <f t="shared" si="6"/>
        <v>0</v>
      </c>
      <c r="AE124" s="231">
        <f t="shared" si="6"/>
        <v>0</v>
      </c>
      <c r="AF124" s="231">
        <f t="shared" si="6"/>
        <v>0</v>
      </c>
      <c r="AG124" s="231">
        <f t="shared" si="6"/>
        <v>0</v>
      </c>
      <c r="AH124" s="231">
        <f t="shared" si="6"/>
        <v>0</v>
      </c>
      <c r="AI124" s="232">
        <f t="shared" si="6"/>
        <v>0</v>
      </c>
    </row>
    <row r="125" spans="2:35" x14ac:dyDescent="0.2">
      <c r="B125" s="40" t="s">
        <v>455</v>
      </c>
      <c r="C125" s="11"/>
      <c r="D125" s="7"/>
      <c r="E125" s="85"/>
      <c r="F125" s="85" cm="1">
        <f t="array" ref="F125">F123*e_taxrate_BE</f>
        <v>0</v>
      </c>
      <c r="G125" s="85" cm="1">
        <f t="array" ref="G125">G123*e_taxrate_BE</f>
        <v>0</v>
      </c>
      <c r="H125" s="85" cm="1">
        <f t="array" ref="H125">H123*e_taxrate_BE</f>
        <v>0</v>
      </c>
      <c r="I125" s="85" cm="1">
        <f t="array" ref="I125">I123*e_taxrate_BE</f>
        <v>0</v>
      </c>
      <c r="J125" s="85" cm="1">
        <f t="array" ref="J125">J123*e_taxrate_BE</f>
        <v>0</v>
      </c>
      <c r="K125" s="85" cm="1">
        <f t="array" ref="K125">K123*e_taxrate_BE</f>
        <v>0</v>
      </c>
      <c r="L125" s="85" cm="1">
        <f t="array" ref="L125">L123*e_taxrate_BE</f>
        <v>0</v>
      </c>
      <c r="M125" s="85" cm="1">
        <f t="array" ref="M125">M123*e_taxrate_BE</f>
        <v>0</v>
      </c>
      <c r="N125" s="85" cm="1">
        <f t="array" ref="N125">N123*e_taxrate_BE</f>
        <v>0</v>
      </c>
      <c r="O125" s="85" cm="1">
        <f t="array" ref="O125">O123*e_taxrate_BE</f>
        <v>0</v>
      </c>
      <c r="P125" s="85" cm="1">
        <f t="array" ref="P125">P123*e_taxrate_BE</f>
        <v>0</v>
      </c>
      <c r="Q125" s="85" cm="1">
        <f t="array" ref="Q125">Q123*e_taxrate_BE</f>
        <v>0</v>
      </c>
      <c r="R125" s="85" cm="1">
        <f t="array" ref="R125">R123*e_taxrate_BE</f>
        <v>0</v>
      </c>
      <c r="S125" s="85" cm="1">
        <f t="array" ref="S125">S123*e_taxrate_BE</f>
        <v>0</v>
      </c>
      <c r="T125" s="85" cm="1">
        <f t="array" ref="T125">T123*e_taxrate_BE</f>
        <v>0</v>
      </c>
      <c r="U125" s="85" cm="1">
        <f t="array" ref="U125">U123*e_taxrate_BE</f>
        <v>0</v>
      </c>
      <c r="V125" s="85" cm="1">
        <f t="array" ref="V125">V123*e_taxrate_BE</f>
        <v>0</v>
      </c>
      <c r="W125" s="85" cm="1">
        <f t="array" ref="W125">W123*e_taxrate_BE</f>
        <v>0</v>
      </c>
      <c r="X125" s="85" cm="1">
        <f t="array" ref="X125">X123*e_taxrate_BE</f>
        <v>0</v>
      </c>
      <c r="Y125" s="85" cm="1">
        <f t="array" ref="Y125">Y123*e_taxrate_BE</f>
        <v>0</v>
      </c>
      <c r="Z125" s="85" cm="1">
        <f t="array" ref="Z125">Z123*e_taxrate_BE</f>
        <v>0</v>
      </c>
      <c r="AA125" s="85" cm="1">
        <f t="array" ref="AA125">AA123*e_taxrate_BE</f>
        <v>0</v>
      </c>
      <c r="AB125" s="85" cm="1">
        <f t="array" ref="AB125">AB123*e_taxrate_BE</f>
        <v>0</v>
      </c>
      <c r="AC125" s="85" cm="1">
        <f t="array" ref="AC125">AC123*e_taxrate_BE</f>
        <v>0</v>
      </c>
      <c r="AD125" s="85" cm="1">
        <f t="array" ref="AD125">AD123*e_taxrate_BE</f>
        <v>0</v>
      </c>
      <c r="AE125" s="85" cm="1">
        <f t="array" ref="AE125">AE123*e_taxrate_BE</f>
        <v>0</v>
      </c>
      <c r="AF125" s="85" cm="1">
        <f t="array" ref="AF125">AF123*e_taxrate_BE</f>
        <v>0</v>
      </c>
      <c r="AG125" s="85" cm="1">
        <f t="array" ref="AG125">AG123*e_taxrate_BE</f>
        <v>0</v>
      </c>
      <c r="AH125" s="85" cm="1">
        <f t="array" ref="AH125">AH123*e_taxrate_BE</f>
        <v>0</v>
      </c>
      <c r="AI125" s="233" cm="1">
        <f t="array" ref="AI125">AI123*e_taxrate_BE</f>
        <v>0</v>
      </c>
    </row>
    <row r="126" spans="2:35" x14ac:dyDescent="0.2">
      <c r="B126" s="39" t="s">
        <v>456</v>
      </c>
      <c r="C126" s="9"/>
      <c r="D126" s="9"/>
      <c r="E126" s="231">
        <f>-E80+E121</f>
        <v>0</v>
      </c>
      <c r="F126" s="231">
        <f>IF(F124&gt;0,F124-F125,F124)</f>
        <v>0</v>
      </c>
      <c r="G126" s="231">
        <f t="shared" ref="G126:AI126" si="7">IF(G124&gt;0,G124-G125,G124)</f>
        <v>0</v>
      </c>
      <c r="H126" s="231">
        <f t="shared" si="7"/>
        <v>0</v>
      </c>
      <c r="I126" s="231">
        <f t="shared" si="7"/>
        <v>0</v>
      </c>
      <c r="J126" s="231">
        <f t="shared" si="7"/>
        <v>0</v>
      </c>
      <c r="K126" s="231">
        <f t="shared" si="7"/>
        <v>0</v>
      </c>
      <c r="L126" s="231">
        <f t="shared" si="7"/>
        <v>0</v>
      </c>
      <c r="M126" s="231">
        <f t="shared" si="7"/>
        <v>0</v>
      </c>
      <c r="N126" s="231">
        <f t="shared" si="7"/>
        <v>0</v>
      </c>
      <c r="O126" s="231">
        <f t="shared" si="7"/>
        <v>0</v>
      </c>
      <c r="P126" s="231">
        <f t="shared" si="7"/>
        <v>0</v>
      </c>
      <c r="Q126" s="231">
        <f t="shared" si="7"/>
        <v>0</v>
      </c>
      <c r="R126" s="231">
        <f t="shared" si="7"/>
        <v>0</v>
      </c>
      <c r="S126" s="231">
        <f t="shared" si="7"/>
        <v>0</v>
      </c>
      <c r="T126" s="231">
        <f t="shared" si="7"/>
        <v>0</v>
      </c>
      <c r="U126" s="231">
        <f t="shared" si="7"/>
        <v>0</v>
      </c>
      <c r="V126" s="231">
        <f t="shared" si="7"/>
        <v>0</v>
      </c>
      <c r="W126" s="231">
        <f t="shared" si="7"/>
        <v>0</v>
      </c>
      <c r="X126" s="231">
        <f t="shared" si="7"/>
        <v>0</v>
      </c>
      <c r="Y126" s="231">
        <f t="shared" si="7"/>
        <v>0</v>
      </c>
      <c r="Z126" s="231">
        <f t="shared" si="7"/>
        <v>0</v>
      </c>
      <c r="AA126" s="231">
        <f t="shared" si="7"/>
        <v>0</v>
      </c>
      <c r="AB126" s="231">
        <f t="shared" si="7"/>
        <v>0</v>
      </c>
      <c r="AC126" s="231">
        <f t="shared" si="7"/>
        <v>0</v>
      </c>
      <c r="AD126" s="231">
        <f t="shared" si="7"/>
        <v>0</v>
      </c>
      <c r="AE126" s="231">
        <f t="shared" si="7"/>
        <v>0</v>
      </c>
      <c r="AF126" s="231">
        <f t="shared" si="7"/>
        <v>0</v>
      </c>
      <c r="AG126" s="231">
        <f t="shared" si="7"/>
        <v>0</v>
      </c>
      <c r="AH126" s="231">
        <f t="shared" si="7"/>
        <v>0</v>
      </c>
      <c r="AI126" s="232">
        <f t="shared" si="7"/>
        <v>0</v>
      </c>
    </row>
    <row r="127" spans="2:35" x14ac:dyDescent="0.2">
      <c r="B127" s="40" t="s">
        <v>457</v>
      </c>
      <c r="C127" s="11"/>
      <c r="D127" s="7"/>
      <c r="E127" s="85"/>
      <c r="F127" s="85" cm="1">
        <f t="array" ref="F127">F126/(1+e_WACC)^F79</f>
        <v>0</v>
      </c>
      <c r="G127" s="85" cm="1">
        <f t="array" ref="G127">G126/(1+e_WACC)^G79</f>
        <v>0</v>
      </c>
      <c r="H127" s="85" cm="1">
        <f t="array" ref="H127">H126/(1+e_WACC)^H79</f>
        <v>0</v>
      </c>
      <c r="I127" s="85" cm="1">
        <f t="array" ref="I127">I126/(1+e_WACC)^I79</f>
        <v>0</v>
      </c>
      <c r="J127" s="85" cm="1">
        <f t="array" ref="J127">J126/(1+e_WACC)^J79</f>
        <v>0</v>
      </c>
      <c r="K127" s="85" cm="1">
        <f t="array" ref="K127">K126/(1+e_WACC)^K79</f>
        <v>0</v>
      </c>
      <c r="L127" s="85" cm="1">
        <f t="array" ref="L127">L126/(1+e_WACC)^L79</f>
        <v>0</v>
      </c>
      <c r="M127" s="85" cm="1">
        <f t="array" ref="M127">M126/(1+e_WACC)^M79</f>
        <v>0</v>
      </c>
      <c r="N127" s="85" cm="1">
        <f t="array" ref="N127">N126/(1+e_WACC)^N79</f>
        <v>0</v>
      </c>
      <c r="O127" s="85" cm="1">
        <f t="array" ref="O127">O126/(1+e_WACC)^O79</f>
        <v>0</v>
      </c>
      <c r="P127" s="85" cm="1">
        <f t="array" ref="P127">P126/(1+e_WACC)^P79</f>
        <v>0</v>
      </c>
      <c r="Q127" s="85" cm="1">
        <f t="array" ref="Q127">Q126/(1+e_WACC)^Q79</f>
        <v>0</v>
      </c>
      <c r="R127" s="85" cm="1">
        <f t="array" ref="R127">R126/(1+e_WACC)^R79</f>
        <v>0</v>
      </c>
      <c r="S127" s="85" cm="1">
        <f t="array" ref="S127">S126/(1+e_WACC)^S79</f>
        <v>0</v>
      </c>
      <c r="T127" s="85" cm="1">
        <f t="array" ref="T127">T126/(1+e_WACC)^T79</f>
        <v>0</v>
      </c>
      <c r="U127" s="85" cm="1">
        <f t="array" ref="U127">U126/(1+e_WACC)^U79</f>
        <v>0</v>
      </c>
      <c r="V127" s="85" cm="1">
        <f t="array" ref="V127">V126/(1+e_WACC)^V79</f>
        <v>0</v>
      </c>
      <c r="W127" s="85" cm="1">
        <f t="array" ref="W127">W126/(1+e_WACC)^W79</f>
        <v>0</v>
      </c>
      <c r="X127" s="85" cm="1">
        <f t="array" ref="X127">X126/(1+e_WACC)^X79</f>
        <v>0</v>
      </c>
      <c r="Y127" s="85" cm="1">
        <f t="array" ref="Y127">Y126/(1+e_WACC)^Y79</f>
        <v>0</v>
      </c>
      <c r="Z127" s="85" cm="1">
        <f t="array" ref="Z127">Z126/(1+e_WACC)^Z79</f>
        <v>0</v>
      </c>
      <c r="AA127" s="85" cm="1">
        <f t="array" ref="AA127">AA126/(1+e_WACC)^AA79</f>
        <v>0</v>
      </c>
      <c r="AB127" s="85" cm="1">
        <f t="array" ref="AB127">AB126/(1+e_WACC)^AB79</f>
        <v>0</v>
      </c>
      <c r="AC127" s="85" cm="1">
        <f t="array" ref="AC127">AC126/(1+e_WACC)^AC79</f>
        <v>0</v>
      </c>
      <c r="AD127" s="85" cm="1">
        <f t="array" ref="AD127">AD126/(1+e_WACC)^AD79</f>
        <v>0</v>
      </c>
      <c r="AE127" s="85" cm="1">
        <f t="array" ref="AE127">AE126/(1+e_WACC)^AE79</f>
        <v>0</v>
      </c>
      <c r="AF127" s="85" cm="1">
        <f t="array" ref="AF127">AF126/(1+e_WACC)^AF79</f>
        <v>0</v>
      </c>
      <c r="AG127" s="85" cm="1">
        <f t="array" ref="AG127">AG126/(1+e_WACC)^AG79</f>
        <v>0</v>
      </c>
      <c r="AH127" s="85" cm="1">
        <f t="array" ref="AH127">AH126/(1+e_WACC)^AH79</f>
        <v>0</v>
      </c>
      <c r="AI127" s="233" cm="1">
        <f t="array" ref="AI127">AI126/(1+e_WACC)^AI79</f>
        <v>0</v>
      </c>
    </row>
    <row r="128" spans="2:35" x14ac:dyDescent="0.2">
      <c r="B128" s="39" t="s">
        <v>458</v>
      </c>
      <c r="C128" s="9"/>
      <c r="E128" s="226"/>
      <c r="F128" s="226">
        <f>E126+F126</f>
        <v>0</v>
      </c>
      <c r="G128" s="226">
        <f>F128+G126</f>
        <v>0</v>
      </c>
      <c r="H128" s="226">
        <f>G128+H126</f>
        <v>0</v>
      </c>
      <c r="I128" s="226">
        <f t="shared" ref="I128:AI129" si="8">H128+I126</f>
        <v>0</v>
      </c>
      <c r="J128" s="226">
        <f t="shared" si="8"/>
        <v>0</v>
      </c>
      <c r="K128" s="226">
        <f t="shared" si="8"/>
        <v>0</v>
      </c>
      <c r="L128" s="226">
        <f t="shared" si="8"/>
        <v>0</v>
      </c>
      <c r="M128" s="226">
        <f t="shared" si="8"/>
        <v>0</v>
      </c>
      <c r="N128" s="226">
        <f t="shared" si="8"/>
        <v>0</v>
      </c>
      <c r="O128" s="226">
        <f t="shared" si="8"/>
        <v>0</v>
      </c>
      <c r="P128" s="226">
        <f t="shared" si="8"/>
        <v>0</v>
      </c>
      <c r="Q128" s="226">
        <f t="shared" si="8"/>
        <v>0</v>
      </c>
      <c r="R128" s="226">
        <f t="shared" si="8"/>
        <v>0</v>
      </c>
      <c r="S128" s="226">
        <f t="shared" si="8"/>
        <v>0</v>
      </c>
      <c r="T128" s="226">
        <f t="shared" si="8"/>
        <v>0</v>
      </c>
      <c r="U128" s="226">
        <f t="shared" si="8"/>
        <v>0</v>
      </c>
      <c r="V128" s="226">
        <f t="shared" si="8"/>
        <v>0</v>
      </c>
      <c r="W128" s="226">
        <f t="shared" si="8"/>
        <v>0</v>
      </c>
      <c r="X128" s="226">
        <f t="shared" si="8"/>
        <v>0</v>
      </c>
      <c r="Y128" s="226">
        <f t="shared" si="8"/>
        <v>0</v>
      </c>
      <c r="Z128" s="226">
        <f t="shared" si="8"/>
        <v>0</v>
      </c>
      <c r="AA128" s="226">
        <f t="shared" si="8"/>
        <v>0</v>
      </c>
      <c r="AB128" s="226">
        <f t="shared" si="8"/>
        <v>0</v>
      </c>
      <c r="AC128" s="226">
        <f t="shared" si="8"/>
        <v>0</v>
      </c>
      <c r="AD128" s="226">
        <f t="shared" si="8"/>
        <v>0</v>
      </c>
      <c r="AE128" s="226">
        <f t="shared" si="8"/>
        <v>0</v>
      </c>
      <c r="AF128" s="226">
        <f t="shared" si="8"/>
        <v>0</v>
      </c>
      <c r="AG128" s="226">
        <f t="shared" si="8"/>
        <v>0</v>
      </c>
      <c r="AH128" s="226">
        <f t="shared" si="8"/>
        <v>0</v>
      </c>
      <c r="AI128" s="228">
        <f t="shared" si="8"/>
        <v>0</v>
      </c>
    </row>
    <row r="129" spans="2:35" x14ac:dyDescent="0.2">
      <c r="B129" s="39" t="s">
        <v>459</v>
      </c>
      <c r="C129" s="9"/>
      <c r="E129" s="226"/>
      <c r="F129" s="226">
        <f>E126+F127</f>
        <v>0</v>
      </c>
      <c r="G129" s="226">
        <f>F129+G127</f>
        <v>0</v>
      </c>
      <c r="H129" s="226">
        <f>G129+H127</f>
        <v>0</v>
      </c>
      <c r="I129" s="226">
        <f t="shared" si="8"/>
        <v>0</v>
      </c>
      <c r="J129" s="226">
        <f t="shared" si="8"/>
        <v>0</v>
      </c>
      <c r="K129" s="226">
        <f t="shared" si="8"/>
        <v>0</v>
      </c>
      <c r="L129" s="226">
        <f t="shared" si="8"/>
        <v>0</v>
      </c>
      <c r="M129" s="226">
        <f t="shared" si="8"/>
        <v>0</v>
      </c>
      <c r="N129" s="226">
        <f t="shared" si="8"/>
        <v>0</v>
      </c>
      <c r="O129" s="226">
        <f t="shared" si="8"/>
        <v>0</v>
      </c>
      <c r="P129" s="226">
        <f t="shared" si="8"/>
        <v>0</v>
      </c>
      <c r="Q129" s="226">
        <f t="shared" si="8"/>
        <v>0</v>
      </c>
      <c r="R129" s="226">
        <f t="shared" si="8"/>
        <v>0</v>
      </c>
      <c r="S129" s="226">
        <f t="shared" si="8"/>
        <v>0</v>
      </c>
      <c r="T129" s="226">
        <f t="shared" si="8"/>
        <v>0</v>
      </c>
      <c r="U129" s="226">
        <f t="shared" si="8"/>
        <v>0</v>
      </c>
      <c r="V129" s="226">
        <f t="shared" si="8"/>
        <v>0</v>
      </c>
      <c r="W129" s="226">
        <f t="shared" si="8"/>
        <v>0</v>
      </c>
      <c r="X129" s="226">
        <f t="shared" si="8"/>
        <v>0</v>
      </c>
      <c r="Y129" s="226">
        <f t="shared" si="8"/>
        <v>0</v>
      </c>
      <c r="Z129" s="226">
        <f t="shared" si="8"/>
        <v>0</v>
      </c>
      <c r="AA129" s="226">
        <f t="shared" si="8"/>
        <v>0</v>
      </c>
      <c r="AB129" s="226">
        <f t="shared" si="8"/>
        <v>0</v>
      </c>
      <c r="AC129" s="226">
        <f t="shared" si="8"/>
        <v>0</v>
      </c>
      <c r="AD129" s="226">
        <f t="shared" si="8"/>
        <v>0</v>
      </c>
      <c r="AE129" s="226">
        <f t="shared" si="8"/>
        <v>0</v>
      </c>
      <c r="AF129" s="226">
        <f t="shared" si="8"/>
        <v>0</v>
      </c>
      <c r="AG129" s="226">
        <f t="shared" si="8"/>
        <v>0</v>
      </c>
      <c r="AH129" s="226">
        <f t="shared" si="8"/>
        <v>0</v>
      </c>
      <c r="AI129" s="228">
        <f t="shared" si="8"/>
        <v>0</v>
      </c>
    </row>
    <row r="130" spans="2:35" x14ac:dyDescent="0.2">
      <c r="B130" s="39" t="s">
        <v>171</v>
      </c>
      <c r="C130" s="9"/>
      <c r="F130" s="1" t="e">
        <f>IF(F128&lt;0,1,-E126/F126)</f>
        <v>#DIV/0!</v>
      </c>
      <c r="G130" s="1" t="e">
        <f>IF(G128&lt;0,1,-F128/G126)</f>
        <v>#DIV/0!</v>
      </c>
      <c r="H130" s="1" t="e">
        <f>IF(H128&lt;0,1,-G128/H126)</f>
        <v>#DIV/0!</v>
      </c>
      <c r="I130" s="1" t="e">
        <f t="shared" ref="I130:AI131" si="9">IF(I128&lt;0,1,-H128/I126)</f>
        <v>#DIV/0!</v>
      </c>
      <c r="J130" s="1" t="e">
        <f t="shared" si="9"/>
        <v>#DIV/0!</v>
      </c>
      <c r="K130" s="1" t="e">
        <f t="shared" si="9"/>
        <v>#DIV/0!</v>
      </c>
      <c r="L130" s="1" t="e">
        <f t="shared" si="9"/>
        <v>#DIV/0!</v>
      </c>
      <c r="M130" s="1" t="e">
        <f t="shared" si="9"/>
        <v>#DIV/0!</v>
      </c>
      <c r="N130" s="1" t="e">
        <f t="shared" si="9"/>
        <v>#DIV/0!</v>
      </c>
      <c r="O130" s="1" t="e">
        <f t="shared" si="9"/>
        <v>#DIV/0!</v>
      </c>
      <c r="P130" s="1" t="e">
        <f t="shared" si="9"/>
        <v>#DIV/0!</v>
      </c>
      <c r="Q130" s="1" t="e">
        <f t="shared" si="9"/>
        <v>#DIV/0!</v>
      </c>
      <c r="R130" s="1" t="e">
        <f t="shared" si="9"/>
        <v>#DIV/0!</v>
      </c>
      <c r="S130" s="1" t="e">
        <f t="shared" si="9"/>
        <v>#DIV/0!</v>
      </c>
      <c r="T130" s="1" t="e">
        <f t="shared" si="9"/>
        <v>#DIV/0!</v>
      </c>
      <c r="U130" s="1" t="e">
        <f t="shared" si="9"/>
        <v>#DIV/0!</v>
      </c>
      <c r="V130" s="1" t="e">
        <f t="shared" si="9"/>
        <v>#DIV/0!</v>
      </c>
      <c r="W130" s="1" t="e">
        <f t="shared" si="9"/>
        <v>#DIV/0!</v>
      </c>
      <c r="X130" s="1" t="e">
        <f t="shared" si="9"/>
        <v>#DIV/0!</v>
      </c>
      <c r="Y130" s="1" t="e">
        <f t="shared" si="9"/>
        <v>#DIV/0!</v>
      </c>
      <c r="Z130" s="1" t="e">
        <f t="shared" si="9"/>
        <v>#DIV/0!</v>
      </c>
      <c r="AA130" s="1" t="e">
        <f t="shared" si="9"/>
        <v>#DIV/0!</v>
      </c>
      <c r="AB130" s="1" t="e">
        <f t="shared" si="9"/>
        <v>#DIV/0!</v>
      </c>
      <c r="AC130" s="1" t="e">
        <f t="shared" si="9"/>
        <v>#DIV/0!</v>
      </c>
      <c r="AD130" s="1" t="e">
        <f t="shared" si="9"/>
        <v>#DIV/0!</v>
      </c>
      <c r="AE130" s="1" t="e">
        <f t="shared" si="9"/>
        <v>#DIV/0!</v>
      </c>
      <c r="AF130" s="1" t="e">
        <f t="shared" si="9"/>
        <v>#DIV/0!</v>
      </c>
      <c r="AG130" s="1" t="e">
        <f t="shared" si="9"/>
        <v>#DIV/0!</v>
      </c>
      <c r="AH130" s="1" t="e">
        <f t="shared" si="9"/>
        <v>#DIV/0!</v>
      </c>
      <c r="AI130" s="42" t="e">
        <f t="shared" si="9"/>
        <v>#DIV/0!</v>
      </c>
    </row>
    <row r="131" spans="2:35" x14ac:dyDescent="0.2">
      <c r="B131" s="40" t="s">
        <v>173</v>
      </c>
      <c r="C131" s="11"/>
      <c r="D131" s="7"/>
      <c r="E131" s="7"/>
      <c r="F131" s="7" t="e">
        <f>IF(F129&lt;0,1,-E126/F127)</f>
        <v>#DIV/0!</v>
      </c>
      <c r="G131" s="7" t="e">
        <f>IF(G129&lt;0,1,-F129/G127)</f>
        <v>#DIV/0!</v>
      </c>
      <c r="H131" s="7" t="e">
        <f>IF(H129&lt;0,1,-G129/H127)</f>
        <v>#DIV/0!</v>
      </c>
      <c r="I131" s="7" t="e">
        <f t="shared" si="9"/>
        <v>#DIV/0!</v>
      </c>
      <c r="J131" s="7" t="e">
        <f t="shared" si="9"/>
        <v>#DIV/0!</v>
      </c>
      <c r="K131" s="7" t="e">
        <f t="shared" si="9"/>
        <v>#DIV/0!</v>
      </c>
      <c r="L131" s="7" t="e">
        <f t="shared" si="9"/>
        <v>#DIV/0!</v>
      </c>
      <c r="M131" s="7" t="e">
        <f t="shared" si="9"/>
        <v>#DIV/0!</v>
      </c>
      <c r="N131" s="7" t="e">
        <f t="shared" si="9"/>
        <v>#DIV/0!</v>
      </c>
      <c r="O131" s="7" t="e">
        <f t="shared" si="9"/>
        <v>#DIV/0!</v>
      </c>
      <c r="P131" s="7" t="e">
        <f t="shared" si="9"/>
        <v>#DIV/0!</v>
      </c>
      <c r="Q131" s="7" t="e">
        <f t="shared" si="9"/>
        <v>#DIV/0!</v>
      </c>
      <c r="R131" s="7" t="e">
        <f t="shared" si="9"/>
        <v>#DIV/0!</v>
      </c>
      <c r="S131" s="7" t="e">
        <f t="shared" si="9"/>
        <v>#DIV/0!</v>
      </c>
      <c r="T131" s="7" t="e">
        <f t="shared" si="9"/>
        <v>#DIV/0!</v>
      </c>
      <c r="U131" s="7" t="e">
        <f t="shared" si="9"/>
        <v>#DIV/0!</v>
      </c>
      <c r="V131" s="7" t="e">
        <f t="shared" si="9"/>
        <v>#DIV/0!</v>
      </c>
      <c r="W131" s="7" t="e">
        <f t="shared" si="9"/>
        <v>#DIV/0!</v>
      </c>
      <c r="X131" s="7" t="e">
        <f t="shared" si="9"/>
        <v>#DIV/0!</v>
      </c>
      <c r="Y131" s="7" t="e">
        <f t="shared" si="9"/>
        <v>#DIV/0!</v>
      </c>
      <c r="Z131" s="7" t="e">
        <f t="shared" si="9"/>
        <v>#DIV/0!</v>
      </c>
      <c r="AA131" s="7" t="e">
        <f t="shared" si="9"/>
        <v>#DIV/0!</v>
      </c>
      <c r="AB131" s="7" t="e">
        <f t="shared" si="9"/>
        <v>#DIV/0!</v>
      </c>
      <c r="AC131" s="7" t="e">
        <f t="shared" si="9"/>
        <v>#DIV/0!</v>
      </c>
      <c r="AD131" s="7" t="e">
        <f t="shared" si="9"/>
        <v>#DIV/0!</v>
      </c>
      <c r="AE131" s="7" t="e">
        <f t="shared" si="9"/>
        <v>#DIV/0!</v>
      </c>
      <c r="AF131" s="7" t="e">
        <f t="shared" si="9"/>
        <v>#DIV/0!</v>
      </c>
      <c r="AG131" s="7" t="e">
        <f t="shared" si="9"/>
        <v>#DIV/0!</v>
      </c>
      <c r="AH131" s="7" t="e">
        <f t="shared" si="9"/>
        <v>#DIV/0!</v>
      </c>
      <c r="AI131" s="182" t="e">
        <f t="shared" si="9"/>
        <v>#DIV/0!</v>
      </c>
    </row>
    <row r="134" spans="2:35" x14ac:dyDescent="0.2">
      <c r="B134" s="10" t="s">
        <v>460</v>
      </c>
      <c r="C134" s="200" t="s">
        <v>136</v>
      </c>
      <c r="D134" s="207" t="s">
        <v>401</v>
      </c>
    </row>
    <row r="135" spans="2:35" x14ac:dyDescent="0.2">
      <c r="B135" s="41" t="s">
        <v>168</v>
      </c>
      <c r="C135" s="2" t="s">
        <v>164</v>
      </c>
      <c r="D135" s="369" cm="1">
        <f t="array" ref="D135">NPV(e_WACC,F126:AI126)+E126</f>
        <v>0</v>
      </c>
    </row>
    <row r="136" spans="2:35" x14ac:dyDescent="0.2">
      <c r="B136" s="9" t="s">
        <v>169</v>
      </c>
      <c r="C136" s="2" t="s">
        <v>170</v>
      </c>
      <c r="D136" s="86" t="e">
        <f>IRR(E126:AI126)</f>
        <v>#NUM!</v>
      </c>
    </row>
    <row r="137" spans="2:35" x14ac:dyDescent="0.2">
      <c r="B137" s="9" t="s">
        <v>171</v>
      </c>
      <c r="C137" s="2" t="s">
        <v>172</v>
      </c>
      <c r="D137" s="87">
        <f>SUMIF(F130:AI130,"&gt;0")-SUMIF(F130:AI130,"&gt;1")</f>
        <v>0</v>
      </c>
    </row>
    <row r="138" spans="2:35" x14ac:dyDescent="0.2">
      <c r="B138" s="11" t="s">
        <v>173</v>
      </c>
      <c r="C138" s="123" t="s">
        <v>172</v>
      </c>
      <c r="D138" s="87">
        <f>SUMIF(F131:AI131,"&gt;0")-SUMIF(F131:AI131,"&gt;1")</f>
        <v>0</v>
      </c>
    </row>
    <row r="139" spans="2:35" x14ac:dyDescent="0.2">
      <c r="B139" s="62" t="s">
        <v>174</v>
      </c>
      <c r="C139" s="2" t="s">
        <v>166</v>
      </c>
      <c r="D139" s="369">
        <f>F86</f>
        <v>0</v>
      </c>
    </row>
    <row r="140" spans="2:35" x14ac:dyDescent="0.2">
      <c r="B140" s="20" t="s">
        <v>175</v>
      </c>
      <c r="C140" s="2" t="str">
        <f>'1. Pathway 1'!$C$143</f>
        <v>€/ton H2</v>
      </c>
      <c r="D140" s="370"/>
    </row>
    <row r="141" spans="2:35" x14ac:dyDescent="0.2">
      <c r="B141" s="88" t="s">
        <v>176</v>
      </c>
      <c r="C141" s="201" t="str">
        <f>'1. Pathway 1'!$C$144</f>
        <v>€/ton H2</v>
      </c>
      <c r="D141" s="371"/>
    </row>
    <row r="142" spans="2:35" x14ac:dyDescent="0.2">
      <c r="B142" s="132" t="s">
        <v>177</v>
      </c>
      <c r="C142" s="202" t="str">
        <f>'1. Pathway 1'!$C$145</f>
        <v>€/ton H2</v>
      </c>
      <c r="D142" s="372"/>
    </row>
    <row r="145" spans="2:8" x14ac:dyDescent="0.2">
      <c r="B145" s="209" t="s">
        <v>463</v>
      </c>
      <c r="C145" s="210"/>
      <c r="D145" s="210"/>
      <c r="E145" s="210"/>
      <c r="F145" s="210"/>
      <c r="G145" s="210"/>
      <c r="H145" s="212"/>
    </row>
    <row r="146" spans="2:8" x14ac:dyDescent="0.2">
      <c r="B146" s="373" t="s">
        <v>20</v>
      </c>
      <c r="C146" s="373" t="s">
        <v>147</v>
      </c>
      <c r="D146" s="373"/>
      <c r="E146" s="373" t="s">
        <v>136</v>
      </c>
      <c r="F146" s="373" t="s">
        <v>464</v>
      </c>
      <c r="G146" s="72" t="s">
        <v>415</v>
      </c>
      <c r="H146" s="214"/>
    </row>
    <row r="147" spans="2:8" x14ac:dyDescent="0.2">
      <c r="B147" s="374" t="s">
        <v>465</v>
      </c>
      <c r="C147" s="210"/>
      <c r="D147" s="210"/>
      <c r="E147" s="210"/>
      <c r="F147" s="210"/>
      <c r="G147" s="210"/>
      <c r="H147" s="212"/>
    </row>
    <row r="148" spans="2:8" x14ac:dyDescent="0.2">
      <c r="B148" s="77" t="s">
        <v>47</v>
      </c>
      <c r="C148" s="1" t="s">
        <v>470</v>
      </c>
      <c r="E148" s="1" t="str">
        <f>"kg CO2eq/" &amp; IF(Technology!$C$32="","FU",Technology!$C$32)</f>
        <v>kg CO2eq/ton H2</v>
      </c>
      <c r="F148" s="130"/>
      <c r="H148" s="42"/>
    </row>
    <row r="149" spans="2:8" x14ac:dyDescent="0.2">
      <c r="B149" s="77"/>
      <c r="C149" s="1" t="s">
        <v>466</v>
      </c>
      <c r="E149" s="1" t="str">
        <f>"kg CO2eq/" &amp; IF(Technology!$C$32="","FU",Technology!$C$32)</f>
        <v>kg CO2eq/ton H2</v>
      </c>
      <c r="F149" s="130"/>
      <c r="H149" s="42"/>
    </row>
    <row r="150" spans="2:8" x14ac:dyDescent="0.2">
      <c r="B150" s="77"/>
      <c r="C150" s="1" t="s">
        <v>211</v>
      </c>
      <c r="D150" s="1" t="s">
        <v>199</v>
      </c>
      <c r="E150" s="1" t="str">
        <f>"kg CO2eq/" &amp; IF(Technology!$C$32="","FU",Technology!$C$32)</f>
        <v>kg CO2eq/ton H2</v>
      </c>
      <c r="F150" s="130"/>
      <c r="H150" s="42"/>
    </row>
    <row r="151" spans="2:8" x14ac:dyDescent="0.2">
      <c r="B151" s="77"/>
      <c r="D151" s="1" t="s">
        <v>624</v>
      </c>
      <c r="E151" s="1" t="str">
        <f>"kg CO2eq/" &amp; IF(Technology!$C$32="","FU",Technology!$C$32)</f>
        <v>kg CO2eq/ton H2</v>
      </c>
      <c r="F151" s="130"/>
      <c r="H151" s="42"/>
    </row>
    <row r="152" spans="2:8" x14ac:dyDescent="0.2">
      <c r="B152" s="77"/>
      <c r="C152" s="1" t="s">
        <v>625</v>
      </c>
      <c r="E152" s="1" t="str">
        <f>"kg CO2eq/" &amp; IF(Technology!$C$32="","FU",Technology!$C$32)</f>
        <v>kg CO2eq/ton H2</v>
      </c>
      <c r="F152" s="130"/>
      <c r="H152" s="42"/>
    </row>
    <row r="153" spans="2:8" x14ac:dyDescent="0.2">
      <c r="B153" s="77"/>
      <c r="C153" s="1" t="s">
        <v>223</v>
      </c>
      <c r="E153" s="1" t="str">
        <f>"kg CO2eq/" &amp; IF(Technology!$C$32="","FU",Technology!$C$32)</f>
        <v>kg CO2eq/ton H2</v>
      </c>
      <c r="F153" s="130"/>
      <c r="H153" s="42"/>
    </row>
    <row r="154" spans="2:8" x14ac:dyDescent="0.2">
      <c r="B154" s="77"/>
      <c r="F154" s="130"/>
      <c r="H154" s="42"/>
    </row>
    <row r="155" spans="2:8" x14ac:dyDescent="0.2">
      <c r="B155" s="77" t="s">
        <v>47</v>
      </c>
      <c r="C155" s="1" t="s">
        <v>470</v>
      </c>
      <c r="E155" s="1" t="str">
        <f>"kg CO2eq/" &amp; IF(Technology!$C$32="","FU",Technology!$C$32)</f>
        <v>kg CO2eq/ton H2</v>
      </c>
      <c r="F155" s="130"/>
      <c r="H155" s="42"/>
    </row>
    <row r="156" spans="2:8" x14ac:dyDescent="0.2">
      <c r="B156" s="77"/>
      <c r="C156" s="1" t="s">
        <v>466</v>
      </c>
      <c r="E156" s="1" t="str">
        <f>"kg CO2eq/" &amp; IF(Technology!$C$32="","FU",Technology!$C$32)</f>
        <v>kg CO2eq/ton H2</v>
      </c>
      <c r="F156" s="130"/>
      <c r="H156" s="42"/>
    </row>
    <row r="157" spans="2:8" x14ac:dyDescent="0.2">
      <c r="B157" s="77"/>
      <c r="C157" s="1" t="s">
        <v>211</v>
      </c>
      <c r="D157" s="1" t="s">
        <v>151</v>
      </c>
      <c r="E157" s="1" t="str">
        <f>"kg CO2eq/" &amp; IF(Technology!$C$32="","FU",Technology!$C$32)</f>
        <v>kg CO2eq/ton H2</v>
      </c>
      <c r="F157" s="130"/>
      <c r="H157" s="42"/>
    </row>
    <row r="158" spans="2:8" x14ac:dyDescent="0.2">
      <c r="B158" s="77"/>
      <c r="D158" s="1" t="s">
        <v>624</v>
      </c>
      <c r="E158" s="1" t="str">
        <f>"kg CO2eq/" &amp; IF(Technology!$C$32="","FU",Technology!$C$32)</f>
        <v>kg CO2eq/ton H2</v>
      </c>
      <c r="F158" s="130"/>
      <c r="H158" s="42"/>
    </row>
    <row r="159" spans="2:8" x14ac:dyDescent="0.2">
      <c r="B159" s="77"/>
      <c r="C159" s="1" t="s">
        <v>625</v>
      </c>
      <c r="E159" s="1" t="str">
        <f>"kg CO2eq/" &amp; IF(Technology!$C$32="","FU",Technology!$C$32)</f>
        <v>kg CO2eq/ton H2</v>
      </c>
      <c r="F159" s="130"/>
      <c r="H159" s="42"/>
    </row>
    <row r="160" spans="2:8" x14ac:dyDescent="0.2">
      <c r="B160" s="77"/>
      <c r="C160" s="1" t="s">
        <v>223</v>
      </c>
      <c r="E160" s="1" t="str">
        <f>"kg CO2eq/" &amp; IF(Technology!$C$32="","FU",Technology!$C$32)</f>
        <v>kg CO2eq/ton H2</v>
      </c>
      <c r="F160" s="130"/>
      <c r="H160" s="42"/>
    </row>
    <row r="161" spans="2:8" x14ac:dyDescent="0.2">
      <c r="B161" s="77"/>
      <c r="F161" s="130"/>
      <c r="H161" s="42"/>
    </row>
    <row r="162" spans="2:8" x14ac:dyDescent="0.2">
      <c r="B162" s="72" t="s">
        <v>469</v>
      </c>
      <c r="C162" s="45"/>
      <c r="D162" s="45"/>
      <c r="E162" s="45"/>
      <c r="F162" s="216"/>
      <c r="G162" s="45"/>
      <c r="H162" s="214"/>
    </row>
    <row r="163" spans="2:8" x14ac:dyDescent="0.2">
      <c r="B163" s="77" t="s">
        <v>47</v>
      </c>
      <c r="C163" s="1" t="s">
        <v>470</v>
      </c>
      <c r="E163" s="1" t="str">
        <f>"kg CO2eq/" &amp; IF(Technology!$C$32="","FU",Technology!$C$32)</f>
        <v>kg CO2eq/ton H2</v>
      </c>
      <c r="F163" s="130"/>
      <c r="H163" s="42"/>
    </row>
    <row r="164" spans="2:8" x14ac:dyDescent="0.2">
      <c r="B164" s="77"/>
      <c r="C164" s="1" t="s">
        <v>466</v>
      </c>
      <c r="E164" s="1" t="str">
        <f>"kg CO2eq/" &amp; IF(Technology!$C$32="","FU",Technology!$C$32)</f>
        <v>kg CO2eq/ton H2</v>
      </c>
      <c r="F164" s="130"/>
      <c r="H164" s="42"/>
    </row>
    <row r="165" spans="2:8" x14ac:dyDescent="0.2">
      <c r="B165" s="77"/>
      <c r="C165" s="1" t="s">
        <v>211</v>
      </c>
      <c r="D165" s="1" t="s">
        <v>151</v>
      </c>
      <c r="E165" s="1" t="str">
        <f>"kg CO2eq/" &amp; IF(Technology!$C$32="","FU",Technology!$C$32)</f>
        <v>kg CO2eq/ton H2</v>
      </c>
      <c r="F165" s="130"/>
      <c r="H165" s="42"/>
    </row>
    <row r="166" spans="2:8" x14ac:dyDescent="0.2">
      <c r="B166" s="77"/>
      <c r="D166" s="1" t="s">
        <v>624</v>
      </c>
      <c r="E166" s="1" t="str">
        <f>"kg CO2eq/" &amp; IF(Technology!$C$32="","FU",Technology!$C$32)</f>
        <v>kg CO2eq/ton H2</v>
      </c>
      <c r="F166" s="130"/>
      <c r="H166" s="42"/>
    </row>
    <row r="167" spans="2:8" x14ac:dyDescent="0.2">
      <c r="B167" s="186"/>
      <c r="C167" s="7"/>
      <c r="D167" s="7"/>
      <c r="E167" s="7"/>
      <c r="F167" s="7"/>
      <c r="G167" s="7"/>
      <c r="H167" s="182"/>
    </row>
    <row r="171" spans="2:8" x14ac:dyDescent="0.2">
      <c r="B171" s="65" t="s">
        <v>146</v>
      </c>
      <c r="C171" s="189" t="s">
        <v>136</v>
      </c>
      <c r="D171" s="375" t="s">
        <v>401</v>
      </c>
    </row>
    <row r="172" spans="2:8" x14ac:dyDescent="0.2">
      <c r="B172" s="376" t="s">
        <v>178</v>
      </c>
      <c r="C172" s="184" t="str">
        <f>"ton CO2eq/" &amp; IF(Technology!$C$32="","FU",Technology!$C$32)</f>
        <v>ton CO2eq/ton H2</v>
      </c>
      <c r="D172" s="377"/>
    </row>
    <row r="173" spans="2:8" ht="13.8" x14ac:dyDescent="0.3">
      <c r="B173" s="183" t="s">
        <v>179</v>
      </c>
      <c r="C173" s="185" t="str">
        <f>"ton CO2eq avoided/" &amp; IF(Technology!$C$32="","FU",Technology!$C$32)</f>
        <v>ton CO2eq avoided/ton H2</v>
      </c>
      <c r="D173" s="378"/>
    </row>
    <row r="174" spans="2:8" x14ac:dyDescent="0.2">
      <c r="B174" s="376" t="s">
        <v>471</v>
      </c>
      <c r="C174" s="379" t="str">
        <f>'1. Pathway 1'!$C$175</f>
        <v>ton CO2eq/ton H2</v>
      </c>
      <c r="D174" s="377">
        <f>D172-D173</f>
        <v>0</v>
      </c>
    </row>
    <row r="175" spans="2:8" x14ac:dyDescent="0.2">
      <c r="B175" s="183"/>
      <c r="C175" s="185" t="str">
        <f>'1. Pathway 1'!$C$176</f>
        <v>ton CO2eq/yr</v>
      </c>
      <c r="D175" s="378"/>
    </row>
    <row r="176" spans="2:8" ht="13.8" x14ac:dyDescent="0.3">
      <c r="B176" s="76" t="s">
        <v>472</v>
      </c>
      <c r="C176" s="193" t="str">
        <f>'1. Pathway 1'!$C$177</f>
        <v>ton CO2eq/ton H2</v>
      </c>
      <c r="D176" s="256">
        <v>0</v>
      </c>
    </row>
    <row r="177" spans="1:4" x14ac:dyDescent="0.2">
      <c r="B177" s="183"/>
      <c r="C177" s="123" t="str">
        <f>'1. Pathway 1'!$C$178</f>
        <v>ton CO2eq/yr</v>
      </c>
      <c r="D177" s="257"/>
    </row>
    <row r="179" spans="1:4" x14ac:dyDescent="0.2">
      <c r="B179" s="117" t="s">
        <v>473</v>
      </c>
      <c r="C179" s="190" t="s">
        <v>136</v>
      </c>
      <c r="D179" s="380" t="s">
        <v>401</v>
      </c>
    </row>
    <row r="180" spans="1:4" x14ac:dyDescent="0.2">
      <c r="B180" s="116" t="s">
        <v>180</v>
      </c>
      <c r="C180" s="191" t="str">
        <f>'1. Pathway 1'!$C$181</f>
        <v>€/ton CO2eq avoided</v>
      </c>
      <c r="D180" s="381"/>
    </row>
    <row r="181" spans="1:4" ht="13.8" x14ac:dyDescent="0.3">
      <c r="B181" s="116" t="s">
        <v>626</v>
      </c>
      <c r="C181" s="191" t="str">
        <f>'1. Pathway 1'!$C$182</f>
        <v>MWh/ton CO2eq avoided</v>
      </c>
      <c r="D181" s="382"/>
    </row>
    <row r="183" spans="1:4" x14ac:dyDescent="0.2">
      <c r="B183" s="141"/>
    </row>
    <row r="184" spans="1:4" s="142" customFormat="1" x14ac:dyDescent="0.2">
      <c r="A184" s="1"/>
      <c r="B184" s="143" t="s">
        <v>476</v>
      </c>
      <c r="C184" s="144"/>
      <c r="D184" s="144"/>
    </row>
    <row r="195" spans="1:4" s="142" customFormat="1" x14ac:dyDescent="0.2">
      <c r="A195" s="1"/>
      <c r="B195" s="143" t="s">
        <v>487</v>
      </c>
      <c r="C195" s="144"/>
      <c r="D195" s="144"/>
    </row>
    <row r="205" spans="1:4" x14ac:dyDescent="0.2">
      <c r="B205" s="141"/>
    </row>
    <row r="207" spans="1:4" s="142" customFormat="1" x14ac:dyDescent="0.2">
      <c r="A207" s="1"/>
      <c r="B207" s="143" t="s">
        <v>488</v>
      </c>
      <c r="C207" s="144"/>
      <c r="D207" s="144"/>
    </row>
  </sheetData>
  <mergeCells count="1">
    <mergeCell ref="E78:AI78"/>
  </mergeCells>
  <dataValidations count="2">
    <dataValidation allowBlank="1" showInputMessage="1" showErrorMessage="1" prompt="The levelized cost of product is calculated by dividing the sum of all the costs over the lifetime by the sum of the product produced over the lifetime. " sqref="B140" xr:uid="{4569869A-B8C9-4892-90FE-35172D286133}"/>
    <dataValidation allowBlank="1" showInputMessage="1" showErrorMessage="1" prompt="The total manufacturing cost is the sum of the total OPEX for one year." sqref="B139" xr:uid="{03728662-F2F7-46EB-98FB-C225BDE3E2A3}"/>
  </dataValidation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B5A0-4DA4-4548-93B4-B603D8E91D44}">
  <sheetPr codeName="Sheet15"/>
  <dimension ref="A1:AI207"/>
  <sheetViews>
    <sheetView workbookViewId="0">
      <pane xSplit="1" topLeftCell="B1" activePane="topRight" state="frozen"/>
      <selection activeCell="B4" sqref="B4"/>
      <selection pane="topRight"/>
    </sheetView>
  </sheetViews>
  <sheetFormatPr defaultColWidth="9.33203125" defaultRowHeight="11.4" x14ac:dyDescent="0.2"/>
  <cols>
    <col min="1" max="1" width="30.6640625" style="1" customWidth="1"/>
    <col min="2" max="2" width="40.6640625" style="1" customWidth="1"/>
    <col min="3" max="3" width="23" style="1" customWidth="1"/>
    <col min="4" max="4" width="40.6640625" style="1" customWidth="1"/>
    <col min="5" max="113" width="20.6640625" style="1" customWidth="1"/>
    <col min="114" max="16384" width="9.33203125" style="1"/>
  </cols>
  <sheetData>
    <row r="1" spans="1:10" ht="144" customHeight="1" x14ac:dyDescent="0.2"/>
    <row r="4" spans="1:10" ht="19.8" x14ac:dyDescent="0.3">
      <c r="B4" s="43" t="str">
        <f>'Pathway definition and results'!H13</f>
        <v xml:space="preserve">4. Pathway 4 </v>
      </c>
    </row>
    <row r="6" spans="1:10" s="14" customFormat="1" x14ac:dyDescent="0.2">
      <c r="A6" s="1"/>
      <c r="B6" s="17" t="s">
        <v>408</v>
      </c>
    </row>
    <row r="8" spans="1:10" x14ac:dyDescent="0.2">
      <c r="B8" s="6"/>
    </row>
    <row r="9" spans="1:10" ht="45" customHeight="1" x14ac:dyDescent="0.2">
      <c r="B9" s="12"/>
      <c r="C9" s="12"/>
      <c r="D9" s="12"/>
      <c r="E9" s="12"/>
      <c r="F9" s="12"/>
      <c r="G9" s="12"/>
      <c r="H9" s="12"/>
      <c r="I9" s="12"/>
      <c r="J9" s="12"/>
    </row>
    <row r="15" spans="1:10" ht="14.4" x14ac:dyDescent="0.3">
      <c r="J15"/>
    </row>
    <row r="17" spans="2:10" ht="14.4" x14ac:dyDescent="0.3">
      <c r="F17"/>
    </row>
    <row r="30" spans="2:10" x14ac:dyDescent="0.2">
      <c r="B30" s="238" t="s">
        <v>412</v>
      </c>
      <c r="C30" s="239"/>
      <c r="D30" s="239"/>
      <c r="E30" s="239"/>
      <c r="F30" s="239"/>
      <c r="G30" s="239"/>
      <c r="H30" s="240"/>
      <c r="I30" s="240"/>
      <c r="J30" s="358"/>
    </row>
    <row r="31" spans="2:10" x14ac:dyDescent="0.2">
      <c r="B31" s="24" t="s">
        <v>20</v>
      </c>
      <c r="C31" s="24" t="s">
        <v>147</v>
      </c>
      <c r="D31" s="25"/>
      <c r="E31" s="26" t="s">
        <v>401</v>
      </c>
      <c r="F31" s="27" t="s">
        <v>413</v>
      </c>
      <c r="G31" s="26" t="s">
        <v>401</v>
      </c>
      <c r="H31" s="27" t="s">
        <v>414</v>
      </c>
      <c r="I31" s="359" t="s">
        <v>415</v>
      </c>
      <c r="J31" s="360"/>
    </row>
    <row r="32" spans="2:10" x14ac:dyDescent="0.2">
      <c r="B32" s="28"/>
      <c r="C32" s="28"/>
      <c r="D32" s="241"/>
      <c r="E32" s="242"/>
      <c r="F32" s="243"/>
      <c r="G32" s="14"/>
      <c r="H32" s="241"/>
      <c r="I32" s="14"/>
      <c r="J32" s="249"/>
    </row>
    <row r="33" spans="2:10" x14ac:dyDescent="0.2">
      <c r="B33" s="29" t="s">
        <v>47</v>
      </c>
      <c r="C33" s="30" t="s">
        <v>148</v>
      </c>
      <c r="D33" s="23" t="s">
        <v>470</v>
      </c>
      <c r="E33" s="31"/>
      <c r="F33" s="32" t="s">
        <v>154</v>
      </c>
      <c r="H33" s="32" t="str">
        <f>"kg/" &amp; IF(Technology!$C$32="","FU",Technology!$C$32)</f>
        <v>kg/ton H2</v>
      </c>
      <c r="J33" s="42"/>
    </row>
    <row r="34" spans="2:10" x14ac:dyDescent="0.2">
      <c r="B34" s="28"/>
      <c r="C34" s="30"/>
      <c r="D34" s="23" t="s">
        <v>466</v>
      </c>
      <c r="E34" s="33"/>
      <c r="F34" s="32" t="s">
        <v>154</v>
      </c>
      <c r="H34" s="32" t="str">
        <f>"kg/" &amp; IF(Technology!$C$32="","FU",Technology!$C$32)</f>
        <v>kg/ton H2</v>
      </c>
      <c r="J34" s="42"/>
    </row>
    <row r="35" spans="2:10" x14ac:dyDescent="0.2">
      <c r="B35" s="28"/>
      <c r="C35" s="30"/>
      <c r="D35" s="23"/>
      <c r="E35" s="33"/>
      <c r="F35" s="32"/>
      <c r="H35" s="32"/>
      <c r="J35" s="42"/>
    </row>
    <row r="36" spans="2:10" x14ac:dyDescent="0.2">
      <c r="B36" s="28"/>
      <c r="C36" s="30"/>
      <c r="D36" s="23" t="s">
        <v>615</v>
      </c>
      <c r="E36" s="33"/>
      <c r="F36" s="32" t="s">
        <v>138</v>
      </c>
      <c r="H36" s="32" t="str">
        <f>"kWh/" &amp; IF(Technology!$C$32="","FU",Technology!$C$32)</f>
        <v>kWh/ton H2</v>
      </c>
      <c r="J36" s="42"/>
    </row>
    <row r="37" spans="2:10" x14ac:dyDescent="0.2">
      <c r="B37" s="28"/>
      <c r="C37" s="30"/>
      <c r="D37" s="23" t="s">
        <v>616</v>
      </c>
      <c r="E37" s="33"/>
      <c r="F37" s="32" t="s">
        <v>138</v>
      </c>
      <c r="H37" s="32" t="str">
        <f>"kWh/" &amp; IF(Technology!$C$32="","FU",Technology!$C$32)</f>
        <v>kWh/ton H2</v>
      </c>
      <c r="J37" s="42"/>
    </row>
    <row r="38" spans="2:10" x14ac:dyDescent="0.2">
      <c r="B38" s="28"/>
      <c r="C38" s="30"/>
      <c r="D38" s="23" t="s">
        <v>617</v>
      </c>
      <c r="E38" s="33"/>
      <c r="F38" s="32" t="s">
        <v>138</v>
      </c>
      <c r="H38" s="32" t="str">
        <f>"kWh/" &amp; IF(Technology!$C$32="","FU",Technology!$C$32)</f>
        <v>kWh/ton H2</v>
      </c>
      <c r="J38" s="42"/>
    </row>
    <row r="39" spans="2:10" x14ac:dyDescent="0.2">
      <c r="B39" s="28"/>
      <c r="C39" s="30"/>
      <c r="D39" s="23" t="s">
        <v>618</v>
      </c>
      <c r="E39" s="33"/>
      <c r="F39" s="32" t="s">
        <v>138</v>
      </c>
      <c r="H39" s="32" t="str">
        <f>"kWh/" &amp; IF(Technology!$C$32="","FU",Technology!$C$32)</f>
        <v>kWh/ton H2</v>
      </c>
      <c r="J39" s="42"/>
    </row>
    <row r="40" spans="2:10" x14ac:dyDescent="0.2">
      <c r="B40" s="28"/>
      <c r="C40" s="30"/>
      <c r="D40" s="23"/>
      <c r="E40" s="33"/>
      <c r="F40" s="32"/>
      <c r="H40" s="32"/>
      <c r="J40" s="42"/>
    </row>
    <row r="41" spans="2:10" x14ac:dyDescent="0.2">
      <c r="B41" s="28"/>
      <c r="C41" s="30"/>
      <c r="D41" s="23" t="s">
        <v>619</v>
      </c>
      <c r="E41" s="33"/>
      <c r="F41" s="32" t="s">
        <v>620</v>
      </c>
      <c r="H41" s="32" t="str">
        <f>"m²/" &amp; IF(Technology!$C$32="","FU",Technology!$C$32)</f>
        <v>m²/ton H2</v>
      </c>
      <c r="J41" s="42"/>
    </row>
    <row r="42" spans="2:10" x14ac:dyDescent="0.2">
      <c r="B42" s="28"/>
      <c r="C42" s="30"/>
      <c r="D42" s="23" t="s">
        <v>621</v>
      </c>
      <c r="E42" s="33"/>
      <c r="F42" s="32" t="s">
        <v>67</v>
      </c>
      <c r="H42" s="32" t="s">
        <v>67</v>
      </c>
      <c r="J42" s="42"/>
    </row>
    <row r="43" spans="2:10" x14ac:dyDescent="0.2">
      <c r="B43" s="28"/>
      <c r="C43" s="30"/>
      <c r="D43" s="23"/>
      <c r="E43" s="33"/>
      <c r="F43" s="32"/>
      <c r="H43" s="32"/>
      <c r="J43" s="42"/>
    </row>
    <row r="44" spans="2:10" x14ac:dyDescent="0.2">
      <c r="B44" s="28"/>
      <c r="C44" s="30" t="s">
        <v>152</v>
      </c>
      <c r="D44" s="23" t="s">
        <v>622</v>
      </c>
      <c r="E44" s="33"/>
      <c r="F44" s="32" t="s">
        <v>154</v>
      </c>
      <c r="H44" s="32" t="str">
        <f>"kg/" &amp; IF(Technology!$C$32="","FU",Technology!$C$32)</f>
        <v>kg/ton H2</v>
      </c>
      <c r="J44" s="42"/>
    </row>
    <row r="45" spans="2:10" x14ac:dyDescent="0.2">
      <c r="B45" s="28"/>
      <c r="C45" s="30"/>
      <c r="D45" s="23" t="s">
        <v>466</v>
      </c>
      <c r="E45" s="33"/>
      <c r="F45" s="32" t="s">
        <v>154</v>
      </c>
      <c r="H45" s="32" t="str">
        <f>"kg/" &amp; IF(Technology!$C$32="","FU",Technology!$C$32)</f>
        <v>kg/ton H2</v>
      </c>
      <c r="J45" s="42"/>
    </row>
    <row r="46" spans="2:10" x14ac:dyDescent="0.2">
      <c r="B46" s="28"/>
      <c r="C46" s="30"/>
      <c r="D46" s="23" t="s">
        <v>242</v>
      </c>
      <c r="E46" s="33"/>
      <c r="F46" s="32" t="s">
        <v>154</v>
      </c>
      <c r="H46" s="32" t="str">
        <f>"kg/" &amp; IF(Technology!$C$32="","FU",Technology!$C$32)</f>
        <v>kg/ton H2</v>
      </c>
      <c r="J46" s="42"/>
    </row>
    <row r="47" spans="2:10" x14ac:dyDescent="0.2">
      <c r="B47" s="28"/>
      <c r="C47" s="30"/>
      <c r="D47" s="23" t="s">
        <v>231</v>
      </c>
      <c r="E47" s="33"/>
      <c r="F47" s="32" t="s">
        <v>154</v>
      </c>
      <c r="H47" s="32" t="str">
        <f>"kg/" &amp; IF(Technology!$C$32="","FU",Technology!$C$32)</f>
        <v>kg/ton H2</v>
      </c>
      <c r="J47" s="42"/>
    </row>
    <row r="48" spans="2:10" x14ac:dyDescent="0.2">
      <c r="B48" s="28"/>
      <c r="C48" s="34"/>
      <c r="D48" s="23"/>
      <c r="E48" s="33"/>
      <c r="F48" s="32"/>
      <c r="H48" s="32"/>
      <c r="J48" s="42"/>
    </row>
    <row r="49" spans="2:10" x14ac:dyDescent="0.2">
      <c r="B49" s="28"/>
      <c r="C49" s="28"/>
      <c r="D49" s="35"/>
      <c r="E49" s="36"/>
      <c r="F49" s="37"/>
      <c r="G49" s="14"/>
      <c r="H49" s="37"/>
      <c r="I49" s="14"/>
      <c r="J49" s="249"/>
    </row>
    <row r="50" spans="2:10" x14ac:dyDescent="0.2">
      <c r="B50" s="29" t="s">
        <v>47</v>
      </c>
      <c r="C50" s="30" t="s">
        <v>148</v>
      </c>
      <c r="D50" s="23" t="s">
        <v>470</v>
      </c>
      <c r="E50" s="31"/>
      <c r="F50" s="32" t="s">
        <v>154</v>
      </c>
      <c r="H50" s="32" t="str">
        <f>"kg/" &amp; IF(Technology!$C$32="","FU",Technology!$C$32)</f>
        <v>kg/ton H2</v>
      </c>
      <c r="J50" s="42"/>
    </row>
    <row r="51" spans="2:10" x14ac:dyDescent="0.2">
      <c r="B51" s="29"/>
      <c r="C51" s="30"/>
      <c r="D51" s="23" t="s">
        <v>466</v>
      </c>
      <c r="E51" s="33"/>
      <c r="F51" s="32" t="s">
        <v>154</v>
      </c>
      <c r="H51" s="32" t="str">
        <f>"kg/" &amp; IF(Technology!$C$32="","FU",Technology!$C$32)</f>
        <v>kg/ton H2</v>
      </c>
      <c r="J51" s="42"/>
    </row>
    <row r="52" spans="2:10" x14ac:dyDescent="0.2">
      <c r="B52" s="29"/>
      <c r="C52" s="30"/>
      <c r="D52" s="23"/>
      <c r="E52" s="33"/>
      <c r="F52" s="32"/>
      <c r="H52" s="32"/>
      <c r="J52" s="42"/>
    </row>
    <row r="53" spans="2:10" x14ac:dyDescent="0.2">
      <c r="B53" s="29"/>
      <c r="C53" s="30"/>
      <c r="D53" s="23" t="s">
        <v>615</v>
      </c>
      <c r="E53" s="33"/>
      <c r="F53" s="32" t="s">
        <v>138</v>
      </c>
      <c r="H53" s="32" t="str">
        <f>"kWh/" &amp; IF(Technology!$C$32="","FU",Technology!$C$32)</f>
        <v>kWh/ton H2</v>
      </c>
      <c r="J53" s="42"/>
    </row>
    <row r="54" spans="2:10" x14ac:dyDescent="0.2">
      <c r="B54" s="29"/>
      <c r="C54" s="30"/>
      <c r="D54" s="23" t="s">
        <v>616</v>
      </c>
      <c r="E54" s="33"/>
      <c r="F54" s="32" t="s">
        <v>138</v>
      </c>
      <c r="H54" s="32" t="str">
        <f>"kWh/" &amp; IF(Technology!$C$32="","FU",Technology!$C$32)</f>
        <v>kWh/ton H2</v>
      </c>
      <c r="J54" s="42"/>
    </row>
    <row r="55" spans="2:10" x14ac:dyDescent="0.2">
      <c r="B55" s="29"/>
      <c r="C55" s="30"/>
      <c r="D55" s="23" t="s">
        <v>617</v>
      </c>
      <c r="E55" s="33"/>
      <c r="F55" s="32" t="s">
        <v>138</v>
      </c>
      <c r="H55" s="32" t="str">
        <f>"kWh/" &amp; IF(Technology!$C$32="","FU",Technology!$C$32)</f>
        <v>kWh/ton H2</v>
      </c>
      <c r="J55" s="42"/>
    </row>
    <row r="56" spans="2:10" x14ac:dyDescent="0.2">
      <c r="B56" s="29"/>
      <c r="C56" s="30"/>
      <c r="D56" s="23" t="s">
        <v>618</v>
      </c>
      <c r="E56" s="33"/>
      <c r="F56" s="32" t="s">
        <v>138</v>
      </c>
      <c r="H56" s="32" t="str">
        <f>"kWh/" &amp; IF(Technology!$C$32="","FU",Technology!$C$32)</f>
        <v>kWh/ton H2</v>
      </c>
      <c r="J56" s="42"/>
    </row>
    <row r="57" spans="2:10" x14ac:dyDescent="0.2">
      <c r="B57" s="29"/>
      <c r="F57" s="32"/>
      <c r="H57" s="32"/>
      <c r="J57" s="42"/>
    </row>
    <row r="58" spans="2:10" x14ac:dyDescent="0.2">
      <c r="B58" s="29"/>
      <c r="C58" s="30"/>
      <c r="D58" s="23" t="s">
        <v>619</v>
      </c>
      <c r="E58" s="33"/>
      <c r="F58" s="32" t="s">
        <v>620</v>
      </c>
      <c r="H58" s="32" t="str">
        <f>"m²/" &amp; IF(Technology!$C$32="","FU",Technology!$C$32)</f>
        <v>m²/ton H2</v>
      </c>
      <c r="J58" s="42"/>
    </row>
    <row r="59" spans="2:10" x14ac:dyDescent="0.2">
      <c r="B59" s="29"/>
      <c r="C59" s="30"/>
      <c r="D59" s="23" t="s">
        <v>621</v>
      </c>
      <c r="E59" s="33"/>
      <c r="F59" s="32" t="s">
        <v>67</v>
      </c>
      <c r="H59" s="32" t="s">
        <v>67</v>
      </c>
      <c r="J59" s="42"/>
    </row>
    <row r="60" spans="2:10" x14ac:dyDescent="0.2">
      <c r="B60" s="29"/>
      <c r="C60" s="30"/>
      <c r="D60" s="23"/>
      <c r="E60" s="33"/>
      <c r="F60" s="32"/>
      <c r="H60" s="32"/>
      <c r="J60" s="42"/>
    </row>
    <row r="61" spans="2:10" x14ac:dyDescent="0.2">
      <c r="B61" s="28"/>
      <c r="C61" s="30" t="s">
        <v>152</v>
      </c>
      <c r="D61" s="23" t="s">
        <v>622</v>
      </c>
      <c r="E61" s="33"/>
      <c r="F61" s="32" t="s">
        <v>154</v>
      </c>
      <c r="H61" s="32" t="str">
        <f>"kg/" &amp; IF(Technology!$C$32="","FU",Technology!$C$32)</f>
        <v>kg/ton H2</v>
      </c>
      <c r="J61" s="42"/>
    </row>
    <row r="62" spans="2:10" x14ac:dyDescent="0.2">
      <c r="B62" s="28"/>
      <c r="C62" s="34"/>
      <c r="D62" s="23" t="s">
        <v>466</v>
      </c>
      <c r="E62" s="33"/>
      <c r="F62" s="32" t="s">
        <v>154</v>
      </c>
      <c r="H62" s="32" t="str">
        <f>"kg/" &amp; IF(Technology!$C$32="","FU",Technology!$C$32)</f>
        <v>kg/ton H2</v>
      </c>
      <c r="J62" s="42"/>
    </row>
    <row r="63" spans="2:10" x14ac:dyDescent="0.2">
      <c r="B63" s="28"/>
      <c r="C63" s="34"/>
      <c r="D63" s="23" t="s">
        <v>242</v>
      </c>
      <c r="E63" s="33"/>
      <c r="F63" s="32" t="s">
        <v>154</v>
      </c>
      <c r="H63" s="32" t="str">
        <f>"kg/" &amp; IF(Technology!$C$32="","FU",Technology!$C$32)</f>
        <v>kg/ton H2</v>
      </c>
      <c r="J63" s="42"/>
    </row>
    <row r="64" spans="2:10" x14ac:dyDescent="0.2">
      <c r="B64" s="28"/>
      <c r="C64" s="34"/>
      <c r="D64" s="23" t="s">
        <v>231</v>
      </c>
      <c r="E64" s="33"/>
      <c r="F64" s="32" t="s">
        <v>154</v>
      </c>
      <c r="H64" s="32" t="str">
        <f>"kg/" &amp; IF(Technology!$C$32="","FU",Technology!$C$32)</f>
        <v>kg/ton H2</v>
      </c>
      <c r="J64" s="42"/>
    </row>
    <row r="65" spans="2:35" x14ac:dyDescent="0.2">
      <c r="B65" s="28"/>
      <c r="C65" s="34"/>
      <c r="D65" s="23"/>
      <c r="E65" s="33"/>
      <c r="F65" s="32"/>
      <c r="H65" s="32"/>
      <c r="J65" s="42"/>
    </row>
    <row r="66" spans="2:35" x14ac:dyDescent="0.2">
      <c r="B66" s="241"/>
      <c r="C66" s="361"/>
      <c r="D66" s="23"/>
      <c r="E66" s="362"/>
      <c r="F66" s="32"/>
      <c r="G66" s="32"/>
      <c r="J66" s="42"/>
    </row>
    <row r="67" spans="2:35" x14ac:dyDescent="0.2">
      <c r="B67" s="24"/>
      <c r="C67" s="363"/>
      <c r="D67" s="246"/>
      <c r="E67" s="247"/>
      <c r="F67" s="248"/>
      <c r="G67" s="248"/>
      <c r="H67" s="7"/>
      <c r="I67" s="7"/>
      <c r="J67" s="182"/>
    </row>
    <row r="69" spans="2:35" x14ac:dyDescent="0.2">
      <c r="B69" s="120" t="s">
        <v>146</v>
      </c>
      <c r="C69" s="195" t="s">
        <v>136</v>
      </c>
      <c r="D69" s="199" t="s">
        <v>401</v>
      </c>
    </row>
    <row r="70" spans="2:35" x14ac:dyDescent="0.2">
      <c r="B70" s="63" t="s">
        <v>157</v>
      </c>
      <c r="C70" s="2" t="s">
        <v>170</v>
      </c>
      <c r="D70" s="364"/>
    </row>
    <row r="71" spans="2:35" x14ac:dyDescent="0.2">
      <c r="B71" s="18" t="s">
        <v>158</v>
      </c>
      <c r="C71" s="2" t="s">
        <v>170</v>
      </c>
      <c r="D71" s="365"/>
    </row>
    <row r="72" spans="2:35" x14ac:dyDescent="0.2">
      <c r="B72" s="18" t="s">
        <v>159</v>
      </c>
      <c r="C72" s="2" t="s">
        <v>170</v>
      </c>
      <c r="D72" s="365"/>
    </row>
    <row r="73" spans="2:35" x14ac:dyDescent="0.2">
      <c r="B73" s="18" t="s">
        <v>160</v>
      </c>
      <c r="C73" s="2" t="s">
        <v>170</v>
      </c>
      <c r="D73" s="365"/>
    </row>
    <row r="74" spans="2:35" x14ac:dyDescent="0.2">
      <c r="B74" s="18" t="s">
        <v>161</v>
      </c>
      <c r="C74" s="2" t="s">
        <v>170</v>
      </c>
      <c r="D74" s="365"/>
    </row>
    <row r="75" spans="2:35" x14ac:dyDescent="0.2">
      <c r="B75" s="119" t="s">
        <v>162</v>
      </c>
      <c r="C75" s="123" t="s">
        <v>170</v>
      </c>
      <c r="D75" s="366"/>
    </row>
    <row r="78" spans="2:35" x14ac:dyDescent="0.2">
      <c r="B78" s="39" t="s">
        <v>433</v>
      </c>
      <c r="C78" s="367"/>
      <c r="D78" s="367"/>
      <c r="E78" s="550" t="s">
        <v>434</v>
      </c>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1"/>
    </row>
    <row r="79" spans="2:35" x14ac:dyDescent="0.2">
      <c r="B79" s="40" t="s">
        <v>435</v>
      </c>
      <c r="C79" s="40" t="s">
        <v>20</v>
      </c>
      <c r="D79" s="40" t="s">
        <v>147</v>
      </c>
      <c r="E79" s="40">
        <v>0</v>
      </c>
      <c r="F79" s="40">
        <v>1</v>
      </c>
      <c r="G79" s="40">
        <v>2</v>
      </c>
      <c r="H79" s="40">
        <v>3</v>
      </c>
      <c r="I79" s="40">
        <v>4</v>
      </c>
      <c r="J79" s="40">
        <v>5</v>
      </c>
      <c r="K79" s="40">
        <v>6</v>
      </c>
      <c r="L79" s="40">
        <v>7</v>
      </c>
      <c r="M79" s="40">
        <v>8</v>
      </c>
      <c r="N79" s="40">
        <v>9</v>
      </c>
      <c r="O79" s="40">
        <v>10</v>
      </c>
      <c r="P79" s="40">
        <v>11</v>
      </c>
      <c r="Q79" s="40">
        <v>12</v>
      </c>
      <c r="R79" s="40">
        <v>13</v>
      </c>
      <c r="S79" s="40">
        <v>14</v>
      </c>
      <c r="T79" s="40">
        <v>15</v>
      </c>
      <c r="U79" s="40">
        <v>16</v>
      </c>
      <c r="V79" s="40">
        <v>17</v>
      </c>
      <c r="W79" s="40">
        <v>18</v>
      </c>
      <c r="X79" s="40">
        <v>19</v>
      </c>
      <c r="Y79" s="40">
        <v>20</v>
      </c>
      <c r="Z79" s="40">
        <v>21</v>
      </c>
      <c r="AA79" s="40">
        <v>22</v>
      </c>
      <c r="AB79" s="40">
        <v>23</v>
      </c>
      <c r="AC79" s="40">
        <v>24</v>
      </c>
      <c r="AD79" s="40">
        <v>25</v>
      </c>
      <c r="AE79" s="40">
        <v>26</v>
      </c>
      <c r="AF79" s="40">
        <v>27</v>
      </c>
      <c r="AG79" s="40">
        <v>28</v>
      </c>
      <c r="AH79" s="40">
        <v>29</v>
      </c>
      <c r="AI79" s="219">
        <v>30</v>
      </c>
    </row>
    <row r="80" spans="2:35" s="6" customFormat="1" x14ac:dyDescent="0.2">
      <c r="B80" s="8" t="s">
        <v>436</v>
      </c>
      <c r="C80" s="8"/>
      <c r="D80" s="8"/>
      <c r="E80" s="221">
        <f t="shared" ref="E80:AI80" si="0">SUM(E81:E85)</f>
        <v>0</v>
      </c>
      <c r="F80" s="221">
        <f t="shared" si="0"/>
        <v>0</v>
      </c>
      <c r="G80" s="221">
        <f t="shared" si="0"/>
        <v>0</v>
      </c>
      <c r="H80" s="221">
        <f t="shared" si="0"/>
        <v>0</v>
      </c>
      <c r="I80" s="221">
        <f t="shared" si="0"/>
        <v>0</v>
      </c>
      <c r="J80" s="221">
        <f t="shared" si="0"/>
        <v>0</v>
      </c>
      <c r="K80" s="221">
        <f t="shared" si="0"/>
        <v>0</v>
      </c>
      <c r="L80" s="221">
        <f t="shared" si="0"/>
        <v>0</v>
      </c>
      <c r="M80" s="221">
        <f t="shared" si="0"/>
        <v>0</v>
      </c>
      <c r="N80" s="221">
        <f t="shared" si="0"/>
        <v>0</v>
      </c>
      <c r="O80" s="221">
        <f t="shared" si="0"/>
        <v>0</v>
      </c>
      <c r="P80" s="221">
        <f t="shared" si="0"/>
        <v>0</v>
      </c>
      <c r="Q80" s="221">
        <f t="shared" si="0"/>
        <v>0</v>
      </c>
      <c r="R80" s="221">
        <f t="shared" si="0"/>
        <v>0</v>
      </c>
      <c r="S80" s="221">
        <f t="shared" si="0"/>
        <v>0</v>
      </c>
      <c r="T80" s="221">
        <f t="shared" si="0"/>
        <v>0</v>
      </c>
      <c r="U80" s="221">
        <f t="shared" si="0"/>
        <v>0</v>
      </c>
      <c r="V80" s="221">
        <f t="shared" si="0"/>
        <v>0</v>
      </c>
      <c r="W80" s="221">
        <f t="shared" si="0"/>
        <v>0</v>
      </c>
      <c r="X80" s="221">
        <f t="shared" si="0"/>
        <v>0</v>
      </c>
      <c r="Y80" s="221">
        <f t="shared" si="0"/>
        <v>0</v>
      </c>
      <c r="Z80" s="221">
        <f t="shared" si="0"/>
        <v>0</v>
      </c>
      <c r="AA80" s="221">
        <f t="shared" si="0"/>
        <v>0</v>
      </c>
      <c r="AB80" s="221">
        <f t="shared" si="0"/>
        <v>0</v>
      </c>
      <c r="AC80" s="221">
        <f t="shared" si="0"/>
        <v>0</v>
      </c>
      <c r="AD80" s="221">
        <f t="shared" si="0"/>
        <v>0</v>
      </c>
      <c r="AE80" s="221">
        <f t="shared" si="0"/>
        <v>0</v>
      </c>
      <c r="AF80" s="221">
        <f t="shared" si="0"/>
        <v>0</v>
      </c>
      <c r="AG80" s="221">
        <f t="shared" si="0"/>
        <v>0</v>
      </c>
      <c r="AH80" s="221">
        <f t="shared" si="0"/>
        <v>0</v>
      </c>
      <c r="AI80" s="222">
        <f t="shared" si="0"/>
        <v>0</v>
      </c>
    </row>
    <row r="81" spans="2:35" x14ac:dyDescent="0.2">
      <c r="B81" s="9"/>
      <c r="C81" s="21" t="s">
        <v>47</v>
      </c>
      <c r="D81" s="1" t="s">
        <v>436</v>
      </c>
      <c r="E81" s="226"/>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5"/>
    </row>
    <row r="82" spans="2:35" x14ac:dyDescent="0.2">
      <c r="B82" s="9"/>
      <c r="C82" s="21"/>
      <c r="D82" s="1" t="s">
        <v>438</v>
      </c>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8"/>
    </row>
    <row r="83" spans="2:35" x14ac:dyDescent="0.2">
      <c r="B83" s="9"/>
      <c r="C83" s="21" t="s">
        <v>47</v>
      </c>
      <c r="D83" s="1" t="s">
        <v>436</v>
      </c>
      <c r="E83" s="226"/>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5"/>
    </row>
    <row r="84" spans="2:35" x14ac:dyDescent="0.2">
      <c r="B84" s="9"/>
      <c r="C84" s="21"/>
      <c r="D84" s="1" t="s">
        <v>438</v>
      </c>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8"/>
    </row>
    <row r="85" spans="2:35" x14ac:dyDescent="0.2">
      <c r="B85" s="9"/>
      <c r="C85" s="21"/>
      <c r="E85" s="226"/>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8"/>
    </row>
    <row r="86" spans="2:35" s="6" customFormat="1" x14ac:dyDescent="0.2">
      <c r="B86" s="8" t="s">
        <v>441</v>
      </c>
      <c r="C86" s="80"/>
      <c r="D86" s="8"/>
      <c r="E86" s="221"/>
      <c r="F86" s="221">
        <f t="shared" ref="F86:AI86" si="1">SUM(F87:F107)</f>
        <v>0</v>
      </c>
      <c r="G86" s="221">
        <f t="shared" si="1"/>
        <v>0</v>
      </c>
      <c r="H86" s="221">
        <f t="shared" si="1"/>
        <v>0</v>
      </c>
      <c r="I86" s="221">
        <f t="shared" si="1"/>
        <v>0</v>
      </c>
      <c r="J86" s="221">
        <f t="shared" si="1"/>
        <v>0</v>
      </c>
      <c r="K86" s="221">
        <f t="shared" si="1"/>
        <v>0</v>
      </c>
      <c r="L86" s="221">
        <f t="shared" si="1"/>
        <v>0</v>
      </c>
      <c r="M86" s="221">
        <f t="shared" si="1"/>
        <v>0</v>
      </c>
      <c r="N86" s="221">
        <f t="shared" si="1"/>
        <v>0</v>
      </c>
      <c r="O86" s="221">
        <f t="shared" si="1"/>
        <v>0</v>
      </c>
      <c r="P86" s="221">
        <f t="shared" si="1"/>
        <v>0</v>
      </c>
      <c r="Q86" s="221">
        <f t="shared" si="1"/>
        <v>0</v>
      </c>
      <c r="R86" s="221">
        <f t="shared" si="1"/>
        <v>0</v>
      </c>
      <c r="S86" s="221">
        <f t="shared" si="1"/>
        <v>0</v>
      </c>
      <c r="T86" s="221">
        <f t="shared" si="1"/>
        <v>0</v>
      </c>
      <c r="U86" s="221">
        <f t="shared" si="1"/>
        <v>0</v>
      </c>
      <c r="V86" s="221">
        <f t="shared" si="1"/>
        <v>0</v>
      </c>
      <c r="W86" s="221">
        <f t="shared" si="1"/>
        <v>0</v>
      </c>
      <c r="X86" s="221">
        <f t="shared" si="1"/>
        <v>0</v>
      </c>
      <c r="Y86" s="221">
        <f t="shared" si="1"/>
        <v>0</v>
      </c>
      <c r="Z86" s="221">
        <f t="shared" si="1"/>
        <v>0</v>
      </c>
      <c r="AA86" s="221">
        <f t="shared" si="1"/>
        <v>0</v>
      </c>
      <c r="AB86" s="221">
        <f t="shared" si="1"/>
        <v>0</v>
      </c>
      <c r="AC86" s="221">
        <f t="shared" si="1"/>
        <v>0</v>
      </c>
      <c r="AD86" s="221">
        <f t="shared" si="1"/>
        <v>0</v>
      </c>
      <c r="AE86" s="221">
        <f t="shared" si="1"/>
        <v>0</v>
      </c>
      <c r="AF86" s="221">
        <f t="shared" si="1"/>
        <v>0</v>
      </c>
      <c r="AG86" s="221">
        <f t="shared" si="1"/>
        <v>0</v>
      </c>
      <c r="AH86" s="221">
        <f t="shared" si="1"/>
        <v>0</v>
      </c>
      <c r="AI86" s="222">
        <f t="shared" si="1"/>
        <v>0</v>
      </c>
    </row>
    <row r="87" spans="2:35" x14ac:dyDescent="0.2">
      <c r="B87" s="9"/>
      <c r="C87" s="21" t="s">
        <v>330</v>
      </c>
      <c r="D87" s="1" t="s">
        <v>442</v>
      </c>
      <c r="E87" s="226"/>
      <c r="F87" s="226">
        <f>IF(F$79&gt;e_ecolifetime_yr,0,$E$80*'Data - economic'!$I$41)</f>
        <v>0</v>
      </c>
      <c r="G87" s="226">
        <f>IF(G$79&gt;e_ecolifetime_yr,0,$E$80*'Data - economic'!$I$41)</f>
        <v>0</v>
      </c>
      <c r="H87" s="226">
        <f>IF(H$79&gt;e_ecolifetime_yr,0,$E$80*'Data - economic'!$I$41)</f>
        <v>0</v>
      </c>
      <c r="I87" s="226">
        <f>IF(I$79&gt;e_ecolifetime_yr,0,$E$80*'Data - economic'!$I$41)</f>
        <v>0</v>
      </c>
      <c r="J87" s="226">
        <f>IF(J$79&gt;e_ecolifetime_yr,0,$E$80*'Data - economic'!$I$41)</f>
        <v>0</v>
      </c>
      <c r="K87" s="226">
        <f>IF(K$79&gt;e_ecolifetime_yr,0,$E$80*'Data - economic'!$I$41)</f>
        <v>0</v>
      </c>
      <c r="L87" s="226">
        <f>IF(L$79&gt;e_ecolifetime_yr,0,$E$80*'Data - economic'!$I$41)</f>
        <v>0</v>
      </c>
      <c r="M87" s="226">
        <f>IF(M$79&gt;e_ecolifetime_yr,0,$E$80*'Data - economic'!$I$41)</f>
        <v>0</v>
      </c>
      <c r="N87" s="226">
        <f>IF(N$79&gt;e_ecolifetime_yr,0,$E$80*'Data - economic'!$I$41)</f>
        <v>0</v>
      </c>
      <c r="O87" s="226">
        <f>IF(O$79&gt;e_ecolifetime_yr,0,$E$80*'Data - economic'!$I$41)</f>
        <v>0</v>
      </c>
      <c r="P87" s="226">
        <f>IF(P$79&gt;e_ecolifetime_yr,0,$E$80*'Data - economic'!$I$41)</f>
        <v>0</v>
      </c>
      <c r="Q87" s="226">
        <f>IF(Q$79&gt;e_ecolifetime_yr,0,$E$80*'Data - economic'!$I$41)</f>
        <v>0</v>
      </c>
      <c r="R87" s="226">
        <f>IF(R$79&gt;e_ecolifetime_yr,0,$E$80*'Data - economic'!$I$41)</f>
        <v>0</v>
      </c>
      <c r="S87" s="226">
        <f>IF(S$79&gt;e_ecolifetime_yr,0,$E$80*'Data - economic'!$I$41)</f>
        <v>0</v>
      </c>
      <c r="T87" s="226">
        <f>IF(T$79&gt;e_ecolifetime_yr,0,$E$80*'Data - economic'!$I$41)</f>
        <v>0</v>
      </c>
      <c r="U87" s="226">
        <f>IF(U$79&gt;e_ecolifetime_yr,0,$E$80*'Data - economic'!$I$41)</f>
        <v>0</v>
      </c>
      <c r="V87" s="226">
        <f>IF(V$79&gt;e_ecolifetime_yr,0,$E$80*'Data - economic'!$I$41)</f>
        <v>0</v>
      </c>
      <c r="W87" s="226">
        <f>IF(W$79&gt;e_ecolifetime_yr,0,$E$80*'Data - economic'!$I$41)</f>
        <v>0</v>
      </c>
      <c r="X87" s="226">
        <f>IF(X$79&gt;e_ecolifetime_yr,0,$E$80*'Data - economic'!$I$41)</f>
        <v>0</v>
      </c>
      <c r="Y87" s="226">
        <f>IF(Y$79&gt;e_ecolifetime_yr,0,$E$80*'Data - economic'!$I$41)</f>
        <v>0</v>
      </c>
      <c r="Z87" s="226">
        <f>IF(Z$79&gt;e_ecolifetime_yr,0,$E$80*'Data - economic'!$I$41)</f>
        <v>0</v>
      </c>
      <c r="AA87" s="226">
        <f>IF(AA$79&gt;e_ecolifetime_yr,0,$E$80*'Data - economic'!$I$41)</f>
        <v>0</v>
      </c>
      <c r="AB87" s="226">
        <f>IF(AB$79&gt;e_ecolifetime_yr,0,$E$80*'Data - economic'!$I$41)</f>
        <v>0</v>
      </c>
      <c r="AC87" s="226">
        <f>IF(AC$79&gt;e_ecolifetime_yr,0,$E$80*'Data - economic'!$I$41)</f>
        <v>0</v>
      </c>
      <c r="AD87" s="226">
        <f>IF(AD$79&gt;e_ecolifetime_yr,0,$E$80*'Data - economic'!$I$41)</f>
        <v>0</v>
      </c>
      <c r="AE87" s="226">
        <f>IF(AE$79&gt;e_ecolifetime_yr,0,$E$80*'Data - economic'!$I$41)</f>
        <v>0</v>
      </c>
      <c r="AF87" s="226">
        <f>IF(AF$79&gt;e_ecolifetime_yr,0,$E$80*'Data - economic'!$I$41)</f>
        <v>0</v>
      </c>
      <c r="AG87" s="226">
        <f>IF(AG$79&gt;e_ecolifetime_yr,0,$E$80*'Data - economic'!$I$41)</f>
        <v>0</v>
      </c>
      <c r="AH87" s="226">
        <f>IF(AH$79&gt;e_ecolifetime_yr,0,$E$80*'Data - economic'!$I$41)</f>
        <v>0</v>
      </c>
      <c r="AI87" s="383">
        <f>IF(AI$79&gt;e_ecolifetime_yr,0,$E$80*'Data - economic'!$I$41)</f>
        <v>0</v>
      </c>
    </row>
    <row r="88" spans="2:35" x14ac:dyDescent="0.2">
      <c r="B88" s="9"/>
      <c r="C88" s="21"/>
      <c r="D88" s="1" t="s">
        <v>443</v>
      </c>
      <c r="E88" s="226"/>
      <c r="F88" s="226">
        <f>IF(F$79&gt;e_ecolifetime_yr,0,$E$80*'Data - economic'!$I$42)</f>
        <v>0</v>
      </c>
      <c r="G88" s="226">
        <f>IF(G$79&gt;e_ecolifetime_yr,0,$E$80*'Data - economic'!$I$42)</f>
        <v>0</v>
      </c>
      <c r="H88" s="226">
        <f>IF(H$79&gt;e_ecolifetime_yr,0,$E$80*'Data - economic'!$I$42)</f>
        <v>0</v>
      </c>
      <c r="I88" s="226">
        <f>IF(I$79&gt;e_ecolifetime_yr,0,$E$80*'Data - economic'!$I$42)</f>
        <v>0</v>
      </c>
      <c r="J88" s="226">
        <f>IF(J$79&gt;e_ecolifetime_yr,0,$E$80*'Data - economic'!$I$42)</f>
        <v>0</v>
      </c>
      <c r="K88" s="226">
        <f>IF(K$79&gt;e_ecolifetime_yr,0,$E$80*'Data - economic'!$I$42)</f>
        <v>0</v>
      </c>
      <c r="L88" s="226">
        <f>IF(L$79&gt;e_ecolifetime_yr,0,$E$80*'Data - economic'!$I$42)</f>
        <v>0</v>
      </c>
      <c r="M88" s="226">
        <f>IF(M$79&gt;e_ecolifetime_yr,0,$E$80*'Data - economic'!$I$42)</f>
        <v>0</v>
      </c>
      <c r="N88" s="226">
        <f>IF(N$79&gt;e_ecolifetime_yr,0,$E$80*'Data - economic'!$I$42)</f>
        <v>0</v>
      </c>
      <c r="O88" s="226">
        <f>IF(O$79&gt;e_ecolifetime_yr,0,$E$80*'Data - economic'!$I$42)</f>
        <v>0</v>
      </c>
      <c r="P88" s="226">
        <f>IF(P$79&gt;e_ecolifetime_yr,0,$E$80*'Data - economic'!$I$42)</f>
        <v>0</v>
      </c>
      <c r="Q88" s="226">
        <f>IF(Q$79&gt;e_ecolifetime_yr,0,$E$80*'Data - economic'!$I$42)</f>
        <v>0</v>
      </c>
      <c r="R88" s="226">
        <f>IF(R$79&gt;e_ecolifetime_yr,0,$E$80*'Data - economic'!$I$42)</f>
        <v>0</v>
      </c>
      <c r="S88" s="226">
        <f>IF(S$79&gt;e_ecolifetime_yr,0,$E$80*'Data - economic'!$I$42)</f>
        <v>0</v>
      </c>
      <c r="T88" s="226">
        <f>IF(T$79&gt;e_ecolifetime_yr,0,$E$80*'Data - economic'!$I$42)</f>
        <v>0</v>
      </c>
      <c r="U88" s="226">
        <f>IF(U$79&gt;e_ecolifetime_yr,0,$E$80*'Data - economic'!$I$42)</f>
        <v>0</v>
      </c>
      <c r="V88" s="226">
        <f>IF(V$79&gt;e_ecolifetime_yr,0,$E$80*'Data - economic'!$I$42)</f>
        <v>0</v>
      </c>
      <c r="W88" s="226">
        <f>IF(W$79&gt;e_ecolifetime_yr,0,$E$80*'Data - economic'!$I$42)</f>
        <v>0</v>
      </c>
      <c r="X88" s="226">
        <f>IF(X$79&gt;e_ecolifetime_yr,0,$E$80*'Data - economic'!$I$42)</f>
        <v>0</v>
      </c>
      <c r="Y88" s="226">
        <f>IF(Y$79&gt;e_ecolifetime_yr,0,$E$80*'Data - economic'!$I$42)</f>
        <v>0</v>
      </c>
      <c r="Z88" s="226">
        <f>IF(Z$79&gt;e_ecolifetime_yr,0,$E$80*'Data - economic'!$I$42)</f>
        <v>0</v>
      </c>
      <c r="AA88" s="226">
        <f>IF(AA$79&gt;e_ecolifetime_yr,0,$E$80*'Data - economic'!$I$42)</f>
        <v>0</v>
      </c>
      <c r="AB88" s="226">
        <f>IF(AB$79&gt;e_ecolifetime_yr,0,$E$80*'Data - economic'!$I$42)</f>
        <v>0</v>
      </c>
      <c r="AC88" s="226">
        <f>IF(AC$79&gt;e_ecolifetime_yr,0,$E$80*'Data - economic'!$I$42)</f>
        <v>0</v>
      </c>
      <c r="AD88" s="226">
        <f>IF(AD$79&gt;e_ecolifetime_yr,0,$E$80*'Data - economic'!$I$42)</f>
        <v>0</v>
      </c>
      <c r="AE88" s="226">
        <f>IF(AE$79&gt;e_ecolifetime_yr,0,$E$80*'Data - economic'!$I$42)</f>
        <v>0</v>
      </c>
      <c r="AF88" s="226">
        <f>IF(AF$79&gt;e_ecolifetime_yr,0,$E$80*'Data - economic'!$I$42)</f>
        <v>0</v>
      </c>
      <c r="AG88" s="226">
        <f>IF(AG$79&gt;e_ecolifetime_yr,0,$E$80*'Data - economic'!$I$42)</f>
        <v>0</v>
      </c>
      <c r="AH88" s="226">
        <f>IF(AH$79&gt;e_ecolifetime_yr,0,$E$80*'Data - economic'!$I$42)</f>
        <v>0</v>
      </c>
      <c r="AI88" s="383">
        <f>IF(AI$79&gt;e_ecolifetime_yr,0,$E$80*'Data - economic'!$I$42)</f>
        <v>0</v>
      </c>
    </row>
    <row r="89" spans="2:35" x14ac:dyDescent="0.2">
      <c r="B89" s="9"/>
      <c r="C89" s="21"/>
      <c r="D89" s="1" t="s">
        <v>444</v>
      </c>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8"/>
    </row>
    <row r="90" spans="2:35" x14ac:dyDescent="0.2">
      <c r="B90" s="9"/>
      <c r="C90" s="21"/>
      <c r="D90" s="1" t="s">
        <v>445</v>
      </c>
      <c r="E90" s="226"/>
      <c r="F90" s="226">
        <f>IF(F$79&gt;e_ecolifetime_yr,0,('2. Pathway 2'!$F$89+'2. Pathway 2'!$F$88)*'Data - economic'!$I$43)</f>
        <v>0</v>
      </c>
      <c r="G90" s="226">
        <f>IF(G$79&gt;e_ecolifetime_yr,0,('2. Pathway 2'!$F$89+'2. Pathway 2'!$F$88)*'Data - economic'!$I$43)</f>
        <v>0</v>
      </c>
      <c r="H90" s="226">
        <f>IF(H$79&gt;e_ecolifetime_yr,0,('2. Pathway 2'!$F$89+'2. Pathway 2'!$F$88)*'Data - economic'!$I$43)</f>
        <v>0</v>
      </c>
      <c r="I90" s="226">
        <f>IF(I$79&gt;e_ecolifetime_yr,0,('2. Pathway 2'!$F$89+'2. Pathway 2'!$F$88)*'Data - economic'!$I$43)</f>
        <v>0</v>
      </c>
      <c r="J90" s="226">
        <f>IF(J$79&gt;e_ecolifetime_yr,0,('2. Pathway 2'!$F$89+'2. Pathway 2'!$F$88)*'Data - economic'!$I$43)</f>
        <v>0</v>
      </c>
      <c r="K90" s="226">
        <f>IF(K$79&gt;e_ecolifetime_yr,0,('2. Pathway 2'!$F$89+'2. Pathway 2'!$F$88)*'Data - economic'!$I$43)</f>
        <v>0</v>
      </c>
      <c r="L90" s="226">
        <f>IF(L$79&gt;e_ecolifetime_yr,0,('2. Pathway 2'!$F$89+'2. Pathway 2'!$F$88)*'Data - economic'!$I$43)</f>
        <v>0</v>
      </c>
      <c r="M90" s="226">
        <f>IF(M$79&gt;e_ecolifetime_yr,0,('2. Pathway 2'!$F$89+'2. Pathway 2'!$F$88)*'Data - economic'!$I$43)</f>
        <v>0</v>
      </c>
      <c r="N90" s="226">
        <f>IF(N$79&gt;e_ecolifetime_yr,0,('2. Pathway 2'!$F$89+'2. Pathway 2'!$F$88)*'Data - economic'!$I$43)</f>
        <v>0</v>
      </c>
      <c r="O90" s="226">
        <f>IF(O$79&gt;e_ecolifetime_yr,0,('2. Pathway 2'!$F$89+'2. Pathway 2'!$F$88)*'Data - economic'!$I$43)</f>
        <v>0</v>
      </c>
      <c r="P90" s="226">
        <f>IF(P$79&gt;e_ecolifetime_yr,0,('2. Pathway 2'!$F$89+'2. Pathway 2'!$F$88)*'Data - economic'!$I$43)</f>
        <v>0</v>
      </c>
      <c r="Q90" s="226">
        <f>IF(Q$79&gt;e_ecolifetime_yr,0,('2. Pathway 2'!$F$89+'2. Pathway 2'!$F$88)*'Data - economic'!$I$43)</f>
        <v>0</v>
      </c>
      <c r="R90" s="226">
        <f>IF(R$79&gt;e_ecolifetime_yr,0,('2. Pathway 2'!$F$89+'2. Pathway 2'!$F$88)*'Data - economic'!$I$43)</f>
        <v>0</v>
      </c>
      <c r="S90" s="226">
        <f>IF(S$79&gt;e_ecolifetime_yr,0,('2. Pathway 2'!$F$89+'2. Pathway 2'!$F$88)*'Data - economic'!$I$43)</f>
        <v>0</v>
      </c>
      <c r="T90" s="226">
        <f>IF(T$79&gt;e_ecolifetime_yr,0,('2. Pathway 2'!$F$89+'2. Pathway 2'!$F$88)*'Data - economic'!$I$43)</f>
        <v>0</v>
      </c>
      <c r="U90" s="226">
        <f>IF(U$79&gt;e_ecolifetime_yr,0,('2. Pathway 2'!$F$89+'2. Pathway 2'!$F$88)*'Data - economic'!$I$43)</f>
        <v>0</v>
      </c>
      <c r="V90" s="226">
        <f>IF(V$79&gt;e_ecolifetime_yr,0,('2. Pathway 2'!$F$89+'2. Pathway 2'!$F$88)*'Data - economic'!$I$43)</f>
        <v>0</v>
      </c>
      <c r="W90" s="226">
        <f>IF(W$79&gt;e_ecolifetime_yr,0,('2. Pathway 2'!$F$89+'2. Pathway 2'!$F$88)*'Data - economic'!$I$43)</f>
        <v>0</v>
      </c>
      <c r="X90" s="226">
        <f>IF(X$79&gt;e_ecolifetime_yr,0,('2. Pathway 2'!$F$89+'2. Pathway 2'!$F$88)*'Data - economic'!$I$43)</f>
        <v>0</v>
      </c>
      <c r="Y90" s="226">
        <f>IF(Y$79&gt;e_ecolifetime_yr,0,('2. Pathway 2'!$F$89+'2. Pathway 2'!$F$88)*'Data - economic'!$I$43)</f>
        <v>0</v>
      </c>
      <c r="Z90" s="226">
        <f>IF(Z$79&gt;e_ecolifetime_yr,0,('2. Pathway 2'!$F$89+'2. Pathway 2'!$F$88)*'Data - economic'!$I$43)</f>
        <v>0</v>
      </c>
      <c r="AA90" s="226">
        <f>IF(AA$79&gt;e_ecolifetime_yr,0,('2. Pathway 2'!$F$89+'2. Pathway 2'!$F$88)*'Data - economic'!$I$43)</f>
        <v>0</v>
      </c>
      <c r="AB90" s="226">
        <f>IF(AB$79&gt;e_ecolifetime_yr,0,('2. Pathway 2'!$F$89+'2. Pathway 2'!$F$88)*'Data - economic'!$I$43)</f>
        <v>0</v>
      </c>
      <c r="AC90" s="226">
        <f>IF(AC$79&gt;e_ecolifetime_yr,0,('2. Pathway 2'!$F$89+'2. Pathway 2'!$F$88)*'Data - economic'!$I$43)</f>
        <v>0</v>
      </c>
      <c r="AD90" s="226">
        <f>IF(AD$79&gt;e_ecolifetime_yr,0,('2. Pathway 2'!$F$89+'2. Pathway 2'!$F$88)*'Data - economic'!$I$43)</f>
        <v>0</v>
      </c>
      <c r="AE90" s="226">
        <f>IF(AE$79&gt;e_ecolifetime_yr,0,('2. Pathway 2'!$F$89+'2. Pathway 2'!$F$88)*'Data - economic'!$I$43)</f>
        <v>0</v>
      </c>
      <c r="AF90" s="226">
        <f>IF(AF$79&gt;e_ecolifetime_yr,0,('2. Pathway 2'!$F$89+'2. Pathway 2'!$F$88)*'Data - economic'!$I$43)</f>
        <v>0</v>
      </c>
      <c r="AG90" s="226">
        <f>IF(AG$79&gt;e_ecolifetime_yr,0,('2. Pathway 2'!$F$89+'2. Pathway 2'!$F$88)*'Data - economic'!$I$43)</f>
        <v>0</v>
      </c>
      <c r="AH90" s="226">
        <f>IF(AH$79&gt;e_ecolifetime_yr,0,('2. Pathway 2'!$F$89+'2. Pathway 2'!$F$88)*'Data - economic'!$I$43)</f>
        <v>0</v>
      </c>
      <c r="AI90" s="383">
        <f>IF(AI$79&gt;e_ecolifetime_yr,0,('2. Pathway 2'!$F$89+'2. Pathway 2'!$F$88)*'Data - economic'!$I$43)</f>
        <v>0</v>
      </c>
    </row>
    <row r="91" spans="2:35" x14ac:dyDescent="0.2">
      <c r="B91" s="9"/>
      <c r="C91" s="21"/>
      <c r="D91" s="1" t="s">
        <v>304</v>
      </c>
      <c r="E91" s="226"/>
      <c r="F91" s="226">
        <f>IF(F$79&gt;e_ecolifetime_yr,0,'2. Pathway 2'!$F$89*'Data - economic'!$I$44)</f>
        <v>0</v>
      </c>
      <c r="G91" s="226">
        <f>IF(G$79&gt;e_ecolifetime_yr,0,'2. Pathway 2'!$F$89*'Data - economic'!$I$44)</f>
        <v>0</v>
      </c>
      <c r="H91" s="226">
        <f>IF(H$79&gt;e_ecolifetime_yr,0,'2. Pathway 2'!$F$89*'Data - economic'!$I$44)</f>
        <v>0</v>
      </c>
      <c r="I91" s="226">
        <f>IF(I$79&gt;e_ecolifetime_yr,0,'2. Pathway 2'!$F$89*'Data - economic'!$I$44)</f>
        <v>0</v>
      </c>
      <c r="J91" s="226">
        <f>IF(J$79&gt;e_ecolifetime_yr,0,'2. Pathway 2'!$F$89*'Data - economic'!$I$44)</f>
        <v>0</v>
      </c>
      <c r="K91" s="226">
        <f>IF(K$79&gt;e_ecolifetime_yr,0,'2. Pathway 2'!$F$89*'Data - economic'!$I$44)</f>
        <v>0</v>
      </c>
      <c r="L91" s="226">
        <f>IF(L$79&gt;e_ecolifetime_yr,0,'2. Pathway 2'!$F$89*'Data - economic'!$I$44)</f>
        <v>0</v>
      </c>
      <c r="M91" s="226">
        <f>IF(M$79&gt;e_ecolifetime_yr,0,'2. Pathway 2'!$F$89*'Data - economic'!$I$44)</f>
        <v>0</v>
      </c>
      <c r="N91" s="226">
        <f>IF(N$79&gt;e_ecolifetime_yr,0,'2. Pathway 2'!$F$89*'Data - economic'!$I$44)</f>
        <v>0</v>
      </c>
      <c r="O91" s="226">
        <f>IF(O$79&gt;e_ecolifetime_yr,0,'2. Pathway 2'!$F$89*'Data - economic'!$I$44)</f>
        <v>0</v>
      </c>
      <c r="P91" s="226">
        <f>IF(P$79&gt;e_ecolifetime_yr,0,'2. Pathway 2'!$F$89*'Data - economic'!$I$44)</f>
        <v>0</v>
      </c>
      <c r="Q91" s="226">
        <f>IF(Q$79&gt;e_ecolifetime_yr,0,'2. Pathway 2'!$F$89*'Data - economic'!$I$44)</f>
        <v>0</v>
      </c>
      <c r="R91" s="226">
        <f>IF(R$79&gt;e_ecolifetime_yr,0,'2. Pathway 2'!$F$89*'Data - economic'!$I$44)</f>
        <v>0</v>
      </c>
      <c r="S91" s="226">
        <f>IF(S$79&gt;e_ecolifetime_yr,0,'2. Pathway 2'!$F$89*'Data - economic'!$I$44)</f>
        <v>0</v>
      </c>
      <c r="T91" s="226">
        <f>IF(T$79&gt;e_ecolifetime_yr,0,'2. Pathway 2'!$F$89*'Data - economic'!$I$44)</f>
        <v>0</v>
      </c>
      <c r="U91" s="226">
        <f>IF(U$79&gt;e_ecolifetime_yr,0,'2. Pathway 2'!$F$89*'Data - economic'!$I$44)</f>
        <v>0</v>
      </c>
      <c r="V91" s="226">
        <f>IF(V$79&gt;e_ecolifetime_yr,0,'2. Pathway 2'!$F$89*'Data - economic'!$I$44)</f>
        <v>0</v>
      </c>
      <c r="W91" s="226">
        <f>IF(W$79&gt;e_ecolifetime_yr,0,'2. Pathway 2'!$F$89*'Data - economic'!$I$44)</f>
        <v>0</v>
      </c>
      <c r="X91" s="226">
        <f>IF(X$79&gt;e_ecolifetime_yr,0,'2. Pathway 2'!$F$89*'Data - economic'!$I$44)</f>
        <v>0</v>
      </c>
      <c r="Y91" s="226">
        <f>IF(Y$79&gt;e_ecolifetime_yr,0,'2. Pathway 2'!$F$89*'Data - economic'!$I$44)</f>
        <v>0</v>
      </c>
      <c r="Z91" s="226">
        <f>IF(Z$79&gt;e_ecolifetime_yr,0,'2. Pathway 2'!$F$89*'Data - economic'!$I$44)</f>
        <v>0</v>
      </c>
      <c r="AA91" s="226">
        <f>IF(AA$79&gt;e_ecolifetime_yr,0,'2. Pathway 2'!$F$89*'Data - economic'!$I$44)</f>
        <v>0</v>
      </c>
      <c r="AB91" s="226">
        <f>IF(AB$79&gt;e_ecolifetime_yr,0,'2. Pathway 2'!$F$89*'Data - economic'!$I$44)</f>
        <v>0</v>
      </c>
      <c r="AC91" s="226">
        <f>IF(AC$79&gt;e_ecolifetime_yr,0,'2. Pathway 2'!$F$89*'Data - economic'!$I$44)</f>
        <v>0</v>
      </c>
      <c r="AD91" s="226">
        <f>IF(AD$79&gt;e_ecolifetime_yr,0,'2. Pathway 2'!$F$89*'Data - economic'!$I$44)</f>
        <v>0</v>
      </c>
      <c r="AE91" s="226">
        <f>IF(AE$79&gt;e_ecolifetime_yr,0,'2. Pathway 2'!$F$89*'Data - economic'!$I$44)</f>
        <v>0</v>
      </c>
      <c r="AF91" s="226">
        <f>IF(AF$79&gt;e_ecolifetime_yr,0,'2. Pathway 2'!$F$89*'Data - economic'!$I$44)</f>
        <v>0</v>
      </c>
      <c r="AG91" s="226">
        <f>IF(AG$79&gt;e_ecolifetime_yr,0,'2. Pathway 2'!$F$89*'Data - economic'!$I$44)</f>
        <v>0</v>
      </c>
      <c r="AH91" s="226">
        <f>IF(AH$79&gt;e_ecolifetime_yr,0,'2. Pathway 2'!$F$89*'Data - economic'!$I$44)</f>
        <v>0</v>
      </c>
      <c r="AI91" s="383">
        <f>IF(AI$79&gt;e_ecolifetime_yr,0,'2. Pathway 2'!$F$89*'Data - economic'!$I$44)</f>
        <v>0</v>
      </c>
    </row>
    <row r="92" spans="2:35" x14ac:dyDescent="0.2">
      <c r="B92" s="9"/>
      <c r="C92" s="21"/>
      <c r="D92" s="1" t="s">
        <v>306</v>
      </c>
      <c r="E92" s="226"/>
      <c r="F92" s="226">
        <f>IF(F$79&gt;e_ecolifetime_yr,0,'2. Pathway 2'!$F$89*'Data - economic'!$I$45)</f>
        <v>0</v>
      </c>
      <c r="G92" s="226">
        <f>IF(G$79&gt;e_ecolifetime_yr,0,'2. Pathway 2'!$F$89*'Data - economic'!$I$45)</f>
        <v>0</v>
      </c>
      <c r="H92" s="226">
        <f>IF(H$79&gt;e_ecolifetime_yr,0,'2. Pathway 2'!$F$89*'Data - economic'!$I$45)</f>
        <v>0</v>
      </c>
      <c r="I92" s="226">
        <f>IF(I$79&gt;e_ecolifetime_yr,0,'2. Pathway 2'!$F$89*'Data - economic'!$I$45)</f>
        <v>0</v>
      </c>
      <c r="J92" s="226">
        <f>IF(J$79&gt;e_ecolifetime_yr,0,'2. Pathway 2'!$F$89*'Data - economic'!$I$45)</f>
        <v>0</v>
      </c>
      <c r="K92" s="226">
        <f>IF(K$79&gt;e_ecolifetime_yr,0,'2. Pathway 2'!$F$89*'Data - economic'!$I$45)</f>
        <v>0</v>
      </c>
      <c r="L92" s="226">
        <f>IF(L$79&gt;e_ecolifetime_yr,0,'2. Pathway 2'!$F$89*'Data - economic'!$I$45)</f>
        <v>0</v>
      </c>
      <c r="M92" s="226">
        <f>IF(M$79&gt;e_ecolifetime_yr,0,'2. Pathway 2'!$F$89*'Data - economic'!$I$45)</f>
        <v>0</v>
      </c>
      <c r="N92" s="226">
        <f>IF(N$79&gt;e_ecolifetime_yr,0,'2. Pathway 2'!$F$89*'Data - economic'!$I$45)</f>
        <v>0</v>
      </c>
      <c r="O92" s="226">
        <f>IF(O$79&gt;e_ecolifetime_yr,0,'2. Pathway 2'!$F$89*'Data - economic'!$I$45)</f>
        <v>0</v>
      </c>
      <c r="P92" s="226">
        <f>IF(P$79&gt;e_ecolifetime_yr,0,'2. Pathway 2'!$F$89*'Data - economic'!$I$45)</f>
        <v>0</v>
      </c>
      <c r="Q92" s="226">
        <f>IF(Q$79&gt;e_ecolifetime_yr,0,'2. Pathway 2'!$F$89*'Data - economic'!$I$45)</f>
        <v>0</v>
      </c>
      <c r="R92" s="226">
        <f>IF(R$79&gt;e_ecolifetime_yr,0,'2. Pathway 2'!$F$89*'Data - economic'!$I$45)</f>
        <v>0</v>
      </c>
      <c r="S92" s="226">
        <f>IF(S$79&gt;e_ecolifetime_yr,0,'2. Pathway 2'!$F$89*'Data - economic'!$I$45)</f>
        <v>0</v>
      </c>
      <c r="T92" s="226">
        <f>IF(T$79&gt;e_ecolifetime_yr,0,'2. Pathway 2'!$F$89*'Data - economic'!$I$45)</f>
        <v>0</v>
      </c>
      <c r="U92" s="226">
        <f>IF(U$79&gt;e_ecolifetime_yr,0,'2. Pathway 2'!$F$89*'Data - economic'!$I$45)</f>
        <v>0</v>
      </c>
      <c r="V92" s="226">
        <f>IF(V$79&gt;e_ecolifetime_yr,0,'2. Pathway 2'!$F$89*'Data - economic'!$I$45)</f>
        <v>0</v>
      </c>
      <c r="W92" s="226">
        <f>IF(W$79&gt;e_ecolifetime_yr,0,'2. Pathway 2'!$F$89*'Data - economic'!$I$45)</f>
        <v>0</v>
      </c>
      <c r="X92" s="226">
        <f>IF(X$79&gt;e_ecolifetime_yr,0,'2. Pathway 2'!$F$89*'Data - economic'!$I$45)</f>
        <v>0</v>
      </c>
      <c r="Y92" s="226">
        <f>IF(Y$79&gt;e_ecolifetime_yr,0,'2. Pathway 2'!$F$89*'Data - economic'!$I$45)</f>
        <v>0</v>
      </c>
      <c r="Z92" s="226">
        <f>IF(Z$79&gt;e_ecolifetime_yr,0,'2. Pathway 2'!$F$89*'Data - economic'!$I$45)</f>
        <v>0</v>
      </c>
      <c r="AA92" s="226">
        <f>IF(AA$79&gt;e_ecolifetime_yr,0,'2. Pathway 2'!$F$89*'Data - economic'!$I$45)</f>
        <v>0</v>
      </c>
      <c r="AB92" s="226">
        <f>IF(AB$79&gt;e_ecolifetime_yr,0,'2. Pathway 2'!$F$89*'Data - economic'!$I$45)</f>
        <v>0</v>
      </c>
      <c r="AC92" s="226">
        <f>IF(AC$79&gt;e_ecolifetime_yr,0,'2. Pathway 2'!$F$89*'Data - economic'!$I$45)</f>
        <v>0</v>
      </c>
      <c r="AD92" s="226">
        <f>IF(AD$79&gt;e_ecolifetime_yr,0,'2. Pathway 2'!$F$89*'Data - economic'!$I$45)</f>
        <v>0</v>
      </c>
      <c r="AE92" s="226">
        <f>IF(AE$79&gt;e_ecolifetime_yr,0,'2. Pathway 2'!$F$89*'Data - economic'!$I$45)</f>
        <v>0</v>
      </c>
      <c r="AF92" s="226">
        <f>IF(AF$79&gt;e_ecolifetime_yr,0,'2. Pathway 2'!$F$89*'Data - economic'!$I$45)</f>
        <v>0</v>
      </c>
      <c r="AG92" s="226">
        <f>IF(AG$79&gt;e_ecolifetime_yr,0,'2. Pathway 2'!$F$89*'Data - economic'!$I$45)</f>
        <v>0</v>
      </c>
      <c r="AH92" s="226">
        <f>IF(AH$79&gt;e_ecolifetime_yr,0,'2. Pathway 2'!$F$89*'Data - economic'!$I$45)</f>
        <v>0</v>
      </c>
      <c r="AI92" s="383">
        <f>IF(AI$79&gt;e_ecolifetime_yr,0,'2. Pathway 2'!$F$89*'Data - economic'!$I$45)</f>
        <v>0</v>
      </c>
    </row>
    <row r="93" spans="2:35" x14ac:dyDescent="0.2">
      <c r="B93" s="9"/>
      <c r="C93" s="21"/>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8"/>
    </row>
    <row r="94" spans="2:35" x14ac:dyDescent="0.2">
      <c r="B94" s="9"/>
      <c r="C94" s="21"/>
      <c r="E94" s="226"/>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8"/>
    </row>
    <row r="95" spans="2:35" x14ac:dyDescent="0.2">
      <c r="B95" s="9"/>
      <c r="C95" s="21" t="s">
        <v>47</v>
      </c>
      <c r="D95" s="1" t="s">
        <v>623</v>
      </c>
      <c r="E95" s="226"/>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8"/>
    </row>
    <row r="96" spans="2:35" x14ac:dyDescent="0.2">
      <c r="B96" s="9"/>
      <c r="C96" s="21"/>
      <c r="D96" s="1" t="s">
        <v>320</v>
      </c>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8"/>
    </row>
    <row r="97" spans="2:35" x14ac:dyDescent="0.2">
      <c r="B97" s="9"/>
      <c r="C97" s="21"/>
      <c r="D97" s="1" t="s">
        <v>387</v>
      </c>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8"/>
    </row>
    <row r="98" spans="2:35" x14ac:dyDescent="0.2">
      <c r="B98" s="9"/>
      <c r="C98" s="21"/>
      <c r="D98" s="1" t="s">
        <v>151</v>
      </c>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8"/>
    </row>
    <row r="99" spans="2:35" x14ac:dyDescent="0.2">
      <c r="B99" s="9"/>
      <c r="C99" s="21"/>
      <c r="D99" s="1" t="s">
        <v>624</v>
      </c>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8"/>
    </row>
    <row r="100" spans="2:35" x14ac:dyDescent="0.2">
      <c r="B100" s="9"/>
      <c r="C100" s="21"/>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8"/>
    </row>
    <row r="101" spans="2:35" x14ac:dyDescent="0.2">
      <c r="B101" s="9"/>
      <c r="C101" s="21" t="s">
        <v>47</v>
      </c>
      <c r="D101" s="1" t="s">
        <v>623</v>
      </c>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8"/>
    </row>
    <row r="102" spans="2:35" x14ac:dyDescent="0.2">
      <c r="B102" s="9"/>
      <c r="C102" s="21"/>
      <c r="D102" s="1" t="s">
        <v>320</v>
      </c>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8"/>
    </row>
    <row r="103" spans="2:35" x14ac:dyDescent="0.2">
      <c r="B103" s="9"/>
      <c r="C103" s="21"/>
      <c r="D103" s="1" t="s">
        <v>387</v>
      </c>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8"/>
    </row>
    <row r="104" spans="2:35" x14ac:dyDescent="0.2">
      <c r="B104" s="9"/>
      <c r="C104" s="21"/>
      <c r="D104" s="1" t="s">
        <v>151</v>
      </c>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8"/>
    </row>
    <row r="105" spans="2:35" x14ac:dyDescent="0.2">
      <c r="B105" s="9"/>
      <c r="C105" s="21"/>
      <c r="D105" s="1" t="s">
        <v>624</v>
      </c>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8"/>
    </row>
    <row r="106" spans="2:35" x14ac:dyDescent="0.2">
      <c r="B106" s="9"/>
      <c r="C106" s="21"/>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8"/>
    </row>
    <row r="107" spans="2:35" x14ac:dyDescent="0.2">
      <c r="B107" s="9"/>
      <c r="C107" s="21"/>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8"/>
    </row>
    <row r="108" spans="2:35" s="6" customFormat="1" x14ac:dyDescent="0.2">
      <c r="B108" s="8" t="s">
        <v>329</v>
      </c>
      <c r="C108" s="80"/>
      <c r="D108" s="8"/>
      <c r="E108" s="221"/>
      <c r="F108" s="221">
        <f>SUM(F109:F113)</f>
        <v>0</v>
      </c>
      <c r="G108" s="221">
        <f t="shared" ref="G108:AI108" si="2">SUM(G109:G113)</f>
        <v>0</v>
      </c>
      <c r="H108" s="221">
        <f t="shared" si="2"/>
        <v>0</v>
      </c>
      <c r="I108" s="221">
        <f t="shared" si="2"/>
        <v>0</v>
      </c>
      <c r="J108" s="221">
        <f t="shared" si="2"/>
        <v>0</v>
      </c>
      <c r="K108" s="221">
        <f t="shared" si="2"/>
        <v>0</v>
      </c>
      <c r="L108" s="221">
        <f t="shared" si="2"/>
        <v>0</v>
      </c>
      <c r="M108" s="221">
        <f t="shared" si="2"/>
        <v>0</v>
      </c>
      <c r="N108" s="221">
        <f t="shared" si="2"/>
        <v>0</v>
      </c>
      <c r="O108" s="221">
        <f t="shared" si="2"/>
        <v>0</v>
      </c>
      <c r="P108" s="221">
        <f t="shared" si="2"/>
        <v>0</v>
      </c>
      <c r="Q108" s="221">
        <f t="shared" si="2"/>
        <v>0</v>
      </c>
      <c r="R108" s="221">
        <f t="shared" si="2"/>
        <v>0</v>
      </c>
      <c r="S108" s="221">
        <f t="shared" si="2"/>
        <v>0</v>
      </c>
      <c r="T108" s="221">
        <f t="shared" si="2"/>
        <v>0</v>
      </c>
      <c r="U108" s="221">
        <f t="shared" si="2"/>
        <v>0</v>
      </c>
      <c r="V108" s="221">
        <f t="shared" si="2"/>
        <v>0</v>
      </c>
      <c r="W108" s="221">
        <f t="shared" si="2"/>
        <v>0</v>
      </c>
      <c r="X108" s="221">
        <f t="shared" si="2"/>
        <v>0</v>
      </c>
      <c r="Y108" s="221">
        <f t="shared" si="2"/>
        <v>0</v>
      </c>
      <c r="Z108" s="221">
        <f t="shared" si="2"/>
        <v>0</v>
      </c>
      <c r="AA108" s="221">
        <f t="shared" si="2"/>
        <v>0</v>
      </c>
      <c r="AB108" s="221">
        <f t="shared" si="2"/>
        <v>0</v>
      </c>
      <c r="AC108" s="221">
        <f t="shared" si="2"/>
        <v>0</v>
      </c>
      <c r="AD108" s="221">
        <f t="shared" si="2"/>
        <v>0</v>
      </c>
      <c r="AE108" s="221">
        <f t="shared" si="2"/>
        <v>0</v>
      </c>
      <c r="AF108" s="221">
        <f t="shared" si="2"/>
        <v>0</v>
      </c>
      <c r="AG108" s="221">
        <f t="shared" si="2"/>
        <v>0</v>
      </c>
      <c r="AH108" s="221">
        <f t="shared" si="2"/>
        <v>0</v>
      </c>
      <c r="AI108" s="222">
        <f t="shared" si="2"/>
        <v>0</v>
      </c>
    </row>
    <row r="109" spans="2:35" x14ac:dyDescent="0.2">
      <c r="B109" s="9"/>
      <c r="C109" s="21" t="s">
        <v>47</v>
      </c>
      <c r="D109" s="1" t="s">
        <v>333</v>
      </c>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8"/>
    </row>
    <row r="110" spans="2:35" x14ac:dyDescent="0.2">
      <c r="B110" s="9"/>
      <c r="C110" s="21"/>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8"/>
    </row>
    <row r="111" spans="2:35" x14ac:dyDescent="0.2">
      <c r="B111" s="9"/>
      <c r="C111" s="21"/>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8"/>
    </row>
    <row r="112" spans="2:35" x14ac:dyDescent="0.2">
      <c r="B112" s="9"/>
      <c r="C112" s="21" t="s">
        <v>447</v>
      </c>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8"/>
    </row>
    <row r="113" spans="2:35" x14ac:dyDescent="0.2">
      <c r="B113" s="9"/>
      <c r="C113" s="21"/>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8"/>
    </row>
    <row r="114" spans="2:35" s="6" customFormat="1" x14ac:dyDescent="0.2">
      <c r="B114" s="10" t="s">
        <v>448</v>
      </c>
      <c r="C114" s="83"/>
      <c r="D114" s="10"/>
      <c r="E114" s="84"/>
      <c r="F114" s="84">
        <f t="shared" ref="F114:AI114" si="3">F108-F86-F80</f>
        <v>0</v>
      </c>
      <c r="G114" s="84">
        <f t="shared" si="3"/>
        <v>0</v>
      </c>
      <c r="H114" s="84">
        <f t="shared" si="3"/>
        <v>0</v>
      </c>
      <c r="I114" s="84">
        <f t="shared" si="3"/>
        <v>0</v>
      </c>
      <c r="J114" s="84">
        <f t="shared" si="3"/>
        <v>0</v>
      </c>
      <c r="K114" s="84">
        <f t="shared" si="3"/>
        <v>0</v>
      </c>
      <c r="L114" s="84">
        <f t="shared" si="3"/>
        <v>0</v>
      </c>
      <c r="M114" s="84">
        <f t="shared" si="3"/>
        <v>0</v>
      </c>
      <c r="N114" s="84">
        <f t="shared" si="3"/>
        <v>0</v>
      </c>
      <c r="O114" s="84">
        <f t="shared" si="3"/>
        <v>0</v>
      </c>
      <c r="P114" s="84">
        <f t="shared" si="3"/>
        <v>0</v>
      </c>
      <c r="Q114" s="84">
        <f t="shared" si="3"/>
        <v>0</v>
      </c>
      <c r="R114" s="84">
        <f t="shared" si="3"/>
        <v>0</v>
      </c>
      <c r="S114" s="84">
        <f t="shared" si="3"/>
        <v>0</v>
      </c>
      <c r="T114" s="84">
        <f t="shared" si="3"/>
        <v>0</v>
      </c>
      <c r="U114" s="84">
        <f t="shared" si="3"/>
        <v>0</v>
      </c>
      <c r="V114" s="84">
        <f t="shared" si="3"/>
        <v>0</v>
      </c>
      <c r="W114" s="84">
        <f t="shared" si="3"/>
        <v>0</v>
      </c>
      <c r="X114" s="84">
        <f t="shared" si="3"/>
        <v>0</v>
      </c>
      <c r="Y114" s="84">
        <f t="shared" si="3"/>
        <v>0</v>
      </c>
      <c r="Z114" s="84">
        <f t="shared" si="3"/>
        <v>0</v>
      </c>
      <c r="AA114" s="84">
        <f t="shared" si="3"/>
        <v>0</v>
      </c>
      <c r="AB114" s="84">
        <f t="shared" si="3"/>
        <v>0</v>
      </c>
      <c r="AC114" s="84">
        <f t="shared" si="3"/>
        <v>0</v>
      </c>
      <c r="AD114" s="84">
        <f t="shared" si="3"/>
        <v>0</v>
      </c>
      <c r="AE114" s="84">
        <f t="shared" si="3"/>
        <v>0</v>
      </c>
      <c r="AF114" s="84">
        <f t="shared" si="3"/>
        <v>0</v>
      </c>
      <c r="AG114" s="84">
        <f t="shared" si="3"/>
        <v>0</v>
      </c>
      <c r="AH114" s="84">
        <f t="shared" si="3"/>
        <v>0</v>
      </c>
      <c r="AI114" s="368">
        <f t="shared" si="3"/>
        <v>0</v>
      </c>
    </row>
    <row r="115" spans="2:35" x14ac:dyDescent="0.2">
      <c r="B115" s="8" t="s">
        <v>449</v>
      </c>
      <c r="C115" s="21" t="s">
        <v>47</v>
      </c>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8"/>
    </row>
    <row r="116" spans="2:35" x14ac:dyDescent="0.2">
      <c r="B116" s="9"/>
      <c r="C116" s="21" t="s">
        <v>47</v>
      </c>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8"/>
    </row>
    <row r="117" spans="2:35" x14ac:dyDescent="0.2">
      <c r="B117" s="9"/>
      <c r="C117" s="21"/>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8"/>
    </row>
    <row r="118" spans="2:35" x14ac:dyDescent="0.2">
      <c r="B118" s="9"/>
      <c r="C118" s="21"/>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8"/>
    </row>
    <row r="119" spans="2:35" x14ac:dyDescent="0.2">
      <c r="B119" s="9"/>
      <c r="C119" s="21"/>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8"/>
    </row>
    <row r="120" spans="2:35" x14ac:dyDescent="0.2">
      <c r="B120" s="39" t="s">
        <v>450</v>
      </c>
      <c r="C120" s="21"/>
      <c r="D120" s="9"/>
      <c r="E120" s="231"/>
      <c r="F120" s="231">
        <f>SUM(F115:F119)</f>
        <v>0</v>
      </c>
      <c r="G120" s="231">
        <f t="shared" ref="G120:AI120" si="4">SUM(G115:G119)</f>
        <v>0</v>
      </c>
      <c r="H120" s="231">
        <f t="shared" si="4"/>
        <v>0</v>
      </c>
      <c r="I120" s="231">
        <f t="shared" si="4"/>
        <v>0</v>
      </c>
      <c r="J120" s="231">
        <f t="shared" si="4"/>
        <v>0</v>
      </c>
      <c r="K120" s="231">
        <f t="shared" si="4"/>
        <v>0</v>
      </c>
      <c r="L120" s="231">
        <f t="shared" si="4"/>
        <v>0</v>
      </c>
      <c r="M120" s="231">
        <f t="shared" si="4"/>
        <v>0</v>
      </c>
      <c r="N120" s="231">
        <f t="shared" si="4"/>
        <v>0</v>
      </c>
      <c r="O120" s="231">
        <f t="shared" si="4"/>
        <v>0</v>
      </c>
      <c r="P120" s="231">
        <f t="shared" si="4"/>
        <v>0</v>
      </c>
      <c r="Q120" s="231">
        <f t="shared" si="4"/>
        <v>0</v>
      </c>
      <c r="R120" s="231">
        <f t="shared" si="4"/>
        <v>0</v>
      </c>
      <c r="S120" s="231">
        <f t="shared" si="4"/>
        <v>0</v>
      </c>
      <c r="T120" s="231">
        <f t="shared" si="4"/>
        <v>0</v>
      </c>
      <c r="U120" s="231">
        <f t="shared" si="4"/>
        <v>0</v>
      </c>
      <c r="V120" s="231">
        <f t="shared" si="4"/>
        <v>0</v>
      </c>
      <c r="W120" s="231">
        <f t="shared" si="4"/>
        <v>0</v>
      </c>
      <c r="X120" s="231">
        <f t="shared" si="4"/>
        <v>0</v>
      </c>
      <c r="Y120" s="231">
        <f t="shared" si="4"/>
        <v>0</v>
      </c>
      <c r="Z120" s="231">
        <f t="shared" si="4"/>
        <v>0</v>
      </c>
      <c r="AA120" s="231">
        <f t="shared" si="4"/>
        <v>0</v>
      </c>
      <c r="AB120" s="231">
        <f t="shared" si="4"/>
        <v>0</v>
      </c>
      <c r="AC120" s="231">
        <f t="shared" si="4"/>
        <v>0</v>
      </c>
      <c r="AD120" s="231">
        <f t="shared" si="4"/>
        <v>0</v>
      </c>
      <c r="AE120" s="231">
        <f t="shared" si="4"/>
        <v>0</v>
      </c>
      <c r="AF120" s="231">
        <f t="shared" si="4"/>
        <v>0</v>
      </c>
      <c r="AG120" s="231">
        <f t="shared" si="4"/>
        <v>0</v>
      </c>
      <c r="AH120" s="231">
        <f t="shared" si="4"/>
        <v>0</v>
      </c>
      <c r="AI120" s="232">
        <f t="shared" si="4"/>
        <v>0</v>
      </c>
    </row>
    <row r="121" spans="2:35" x14ac:dyDescent="0.2">
      <c r="B121" s="39" t="s">
        <v>451</v>
      </c>
      <c r="C121" s="9"/>
      <c r="E121" s="226" cm="1">
        <f t="array" ref="E121">e_debt_ratio*'4. Pathway 4'!E80</f>
        <v>0</v>
      </c>
      <c r="F121" s="226" cm="1">
        <f t="array" ref="F121">IF(F79&gt;e_ecolifetime_yr,0,E121*e_interestrate)</f>
        <v>0</v>
      </c>
      <c r="G121" s="226" cm="1">
        <f t="array" ref="G121">IF(G79&gt;e_ecolifetime_yr,0,($E$121-(F122*F79))*e_interestrate)</f>
        <v>0</v>
      </c>
      <c r="H121" s="226" cm="1">
        <f t="array" ref="H121">IF(H79&gt;e_ecolifetime_yr,0,($E$121-(G122*G79))*e_interestrate)</f>
        <v>0</v>
      </c>
      <c r="I121" s="226" cm="1">
        <f t="array" ref="I121">IF(I79&gt;e_ecolifetime_yr,0,($E$121-(H122*H79))*e_interestrate)</f>
        <v>0</v>
      </c>
      <c r="J121" s="226" cm="1">
        <f t="array" ref="J121">IF(J79&gt;e_ecolifetime_yr,0,($E$121-(I122*I79))*e_interestrate)</f>
        <v>0</v>
      </c>
      <c r="K121" s="226" cm="1">
        <f t="array" ref="K121">IF(K79&gt;e_ecolifetime_yr,0,($E$121-(J122*J79))*e_interestrate)</f>
        <v>0</v>
      </c>
      <c r="L121" s="226" cm="1">
        <f t="array" ref="L121">IF(L79&gt;e_ecolifetime_yr,0,($E$121-(K122*K79))*e_interestrate)</f>
        <v>0</v>
      </c>
      <c r="M121" s="226" cm="1">
        <f t="array" ref="M121">IF(M79&gt;e_ecolifetime_yr,0,($E$121-(L122*L79))*e_interestrate)</f>
        <v>0</v>
      </c>
      <c r="N121" s="226" cm="1">
        <f t="array" ref="N121">IF(N79&gt;e_ecolifetime_yr,0,($E$121-(M122*M79))*e_interestrate)</f>
        <v>0</v>
      </c>
      <c r="O121" s="226" cm="1">
        <f t="array" ref="O121">IF(O79&gt;e_ecolifetime_yr,0,($E$121-(N122*N79))*e_interestrate)</f>
        <v>0</v>
      </c>
      <c r="P121" s="226" cm="1">
        <f t="array" ref="P121">IF(P79&gt;e_ecolifetime_yr,0,($E$121-(O122*O79))*e_interestrate)</f>
        <v>0</v>
      </c>
      <c r="Q121" s="226" cm="1">
        <f t="array" ref="Q121">IF(Q79&gt;e_ecolifetime_yr,0,($E$121-(P122*P79))*e_interestrate)</f>
        <v>0</v>
      </c>
      <c r="R121" s="226" cm="1">
        <f t="array" ref="R121">IF(R79&gt;e_ecolifetime_yr,0,($E$121-(Q122*Q79))*e_interestrate)</f>
        <v>0</v>
      </c>
      <c r="S121" s="226" cm="1">
        <f t="array" ref="S121">IF(S79&gt;e_ecolifetime_yr,0,($E$121-(R122*R79))*e_interestrate)</f>
        <v>0</v>
      </c>
      <c r="T121" s="226" cm="1">
        <f t="array" ref="T121">IF(T79&gt;e_ecolifetime_yr,0,($E$121-(S122*S79))*e_interestrate)</f>
        <v>0</v>
      </c>
      <c r="U121" s="226" cm="1">
        <f t="array" ref="U121">IF(U79&gt;e_ecolifetime_yr,0,($E$121-(T122*T79))*e_interestrate)</f>
        <v>0</v>
      </c>
      <c r="V121" s="226" cm="1">
        <f t="array" ref="V121">IF(V79&gt;e_ecolifetime_yr,0,($E$121-(U122*U79))*e_interestrate)</f>
        <v>0</v>
      </c>
      <c r="W121" s="226" cm="1">
        <f t="array" ref="W121">IF(W79&gt;e_ecolifetime_yr,0,($E$121-(V122*V79))*e_interestrate)</f>
        <v>0</v>
      </c>
      <c r="X121" s="226" cm="1">
        <f t="array" ref="X121">IF(X79&gt;e_ecolifetime_yr,0,($E$121-(W122*W79))*e_interestrate)</f>
        <v>0</v>
      </c>
      <c r="Y121" s="226" cm="1">
        <f t="array" ref="Y121">IF(Y79&gt;e_ecolifetime_yr,0,($E$121-(X122*X79))*e_interestrate)</f>
        <v>0</v>
      </c>
      <c r="Z121" s="226" cm="1">
        <f t="array" ref="Z121">IF(Z79&gt;e_ecolifetime_yr,0,($E$121-(Y122*Y79))*e_interestrate)</f>
        <v>0</v>
      </c>
      <c r="AA121" s="226" cm="1">
        <f t="array" ref="AA121">IF(AA79&gt;e_ecolifetime_yr,0,($E$121-(Z122*Z79))*e_interestrate)</f>
        <v>0</v>
      </c>
      <c r="AB121" s="226" cm="1">
        <f t="array" ref="AB121">IF(AB79&gt;e_ecolifetime_yr,0,($E$121-(AA122*AA79))*e_interestrate)</f>
        <v>0</v>
      </c>
      <c r="AC121" s="226" cm="1">
        <f t="array" ref="AC121">IF(AC79&gt;e_ecolifetime_yr,0,($E$121-(AB122*AB79))*e_interestrate)</f>
        <v>0</v>
      </c>
      <c r="AD121" s="226" cm="1">
        <f t="array" ref="AD121">IF(AD79&gt;e_ecolifetime_yr,0,($E$121-(AC122*AC79))*e_interestrate)</f>
        <v>0</v>
      </c>
      <c r="AE121" s="226" cm="1">
        <f t="array" ref="AE121">IF(AE79&gt;e_ecolifetime_yr,0,($E$121-(AD122*AD79))*e_interestrate)</f>
        <v>0</v>
      </c>
      <c r="AF121" s="226" cm="1">
        <f t="array" ref="AF121">IF(AF79&gt;e_ecolifetime_yr,0,($E$121-(AE122*AE79))*e_interestrate)</f>
        <v>0</v>
      </c>
      <c r="AG121" s="226" cm="1">
        <f t="array" ref="AG121">IF(AG79&gt;e_ecolifetime_yr,0,($E$121-(AF122*AF79))*e_interestrate)</f>
        <v>0</v>
      </c>
      <c r="AH121" s="226" cm="1">
        <f t="array" ref="AH121">IF(AH79&gt;e_ecolifetime_yr,0,($E$121-(AG122*AG79))*e_interestrate)</f>
        <v>0</v>
      </c>
      <c r="AI121" s="228" cm="1">
        <f t="array" ref="AI121">IF(AI79&gt;e_ecolifetime_yr,0,($E$121-(AH122*AH79))*e_interestrate)</f>
        <v>0</v>
      </c>
    </row>
    <row r="122" spans="2:35" x14ac:dyDescent="0.2">
      <c r="B122" s="39" t="s">
        <v>452</v>
      </c>
      <c r="C122" s="9"/>
      <c r="E122" s="226"/>
      <c r="F122" s="226" cm="1">
        <f t="array" ref="F122">IF(F79&gt;e_ecolifetime_yr,0,$E$121/e_ecolifetime_yr)</f>
        <v>0</v>
      </c>
      <c r="G122" s="226" cm="1">
        <f t="array" ref="G122">IF(G79&gt;e_ecolifetime_yr,0,$E$121/e_ecolifetime_yr)</f>
        <v>0</v>
      </c>
      <c r="H122" s="226" cm="1">
        <f t="array" ref="H122">IF(H79&gt;e_ecolifetime_yr,0,$E$121/e_ecolifetime_yr)</f>
        <v>0</v>
      </c>
      <c r="I122" s="226" cm="1">
        <f t="array" ref="I122">IF(I79&gt;e_ecolifetime_yr,0,$E$121/e_ecolifetime_yr)</f>
        <v>0</v>
      </c>
      <c r="J122" s="226" cm="1">
        <f t="array" ref="J122">IF(J79&gt;e_ecolifetime_yr,0,$E$121/e_ecolifetime_yr)</f>
        <v>0</v>
      </c>
      <c r="K122" s="226" cm="1">
        <f t="array" ref="K122">IF(K79&gt;e_ecolifetime_yr,0,$E$121/e_ecolifetime_yr)</f>
        <v>0</v>
      </c>
      <c r="L122" s="226" cm="1">
        <f t="array" ref="L122">IF(L79&gt;e_ecolifetime_yr,0,$E$121/e_ecolifetime_yr)</f>
        <v>0</v>
      </c>
      <c r="M122" s="226" cm="1">
        <f t="array" ref="M122">IF(M79&gt;e_ecolifetime_yr,0,$E$121/e_ecolifetime_yr)</f>
        <v>0</v>
      </c>
      <c r="N122" s="226" cm="1">
        <f t="array" ref="N122">IF(N79&gt;e_ecolifetime_yr,0,$E$121/e_ecolifetime_yr)</f>
        <v>0</v>
      </c>
      <c r="O122" s="226" cm="1">
        <f t="array" ref="O122">IF(O79&gt;e_ecolifetime_yr,0,$E$121/e_ecolifetime_yr)</f>
        <v>0</v>
      </c>
      <c r="P122" s="226" cm="1">
        <f t="array" ref="P122">IF(P79&gt;e_ecolifetime_yr,0,$E$121/e_ecolifetime_yr)</f>
        <v>0</v>
      </c>
      <c r="Q122" s="226" cm="1">
        <f t="array" ref="Q122">IF(Q79&gt;e_ecolifetime_yr,0,$E$121/e_ecolifetime_yr)</f>
        <v>0</v>
      </c>
      <c r="R122" s="226" cm="1">
        <f t="array" ref="R122">IF(R79&gt;e_ecolifetime_yr,0,$E$121/e_ecolifetime_yr)</f>
        <v>0</v>
      </c>
      <c r="S122" s="226" cm="1">
        <f t="array" ref="S122">IF(S79&gt;e_ecolifetime_yr,0,$E$121/e_ecolifetime_yr)</f>
        <v>0</v>
      </c>
      <c r="T122" s="226" cm="1">
        <f t="array" ref="T122">IF(T79&gt;e_ecolifetime_yr,0,$E$121/e_ecolifetime_yr)</f>
        <v>0</v>
      </c>
      <c r="U122" s="226" cm="1">
        <f t="array" ref="U122">IF(U79&gt;e_ecolifetime_yr,0,$E$121/e_ecolifetime_yr)</f>
        <v>0</v>
      </c>
      <c r="V122" s="226" cm="1">
        <f t="array" ref="V122">IF(V79&gt;e_ecolifetime_yr,0,$E$121/e_ecolifetime_yr)</f>
        <v>0</v>
      </c>
      <c r="W122" s="226" cm="1">
        <f t="array" ref="W122">IF(W79&gt;e_ecolifetime_yr,0,$E$121/e_ecolifetime_yr)</f>
        <v>0</v>
      </c>
      <c r="X122" s="226" cm="1">
        <f t="array" ref="X122">IF(X79&gt;e_ecolifetime_yr,0,$E$121/e_ecolifetime_yr)</f>
        <v>0</v>
      </c>
      <c r="Y122" s="226" cm="1">
        <f t="array" ref="Y122">IF(Y79&gt;e_ecolifetime_yr,0,$E$121/e_ecolifetime_yr)</f>
        <v>0</v>
      </c>
      <c r="Z122" s="226" cm="1">
        <f t="array" ref="Z122">IF(Z79&gt;e_ecolifetime_yr,0,$E$121/e_ecolifetime_yr)</f>
        <v>0</v>
      </c>
      <c r="AA122" s="226" cm="1">
        <f t="array" ref="AA122">IF(AA79&gt;e_ecolifetime_yr,0,$E$121/e_ecolifetime_yr)</f>
        <v>0</v>
      </c>
      <c r="AB122" s="226" cm="1">
        <f t="array" ref="AB122">IF(AB79&gt;e_ecolifetime_yr,0,$E$121/e_ecolifetime_yr)</f>
        <v>0</v>
      </c>
      <c r="AC122" s="226" cm="1">
        <f t="array" ref="AC122">IF(AC79&gt;e_ecolifetime_yr,0,$E$121/e_ecolifetime_yr)</f>
        <v>0</v>
      </c>
      <c r="AD122" s="226" cm="1">
        <f t="array" ref="AD122">IF(AD79&gt;e_ecolifetime_yr,0,$E$121/e_ecolifetime_yr)</f>
        <v>0</v>
      </c>
      <c r="AE122" s="226" cm="1">
        <f t="array" ref="AE122">IF(AE79&gt;e_ecolifetime_yr,0,$E$121/e_ecolifetime_yr)</f>
        <v>0</v>
      </c>
      <c r="AF122" s="226" cm="1">
        <f t="array" ref="AF122">IF(AF79&gt;e_ecolifetime_yr,0,$E$121/e_ecolifetime_yr)</f>
        <v>0</v>
      </c>
      <c r="AG122" s="226" cm="1">
        <f t="array" ref="AG122">IF(AG79&gt;e_ecolifetime_yr,0,$E$121/e_ecolifetime_yr)</f>
        <v>0</v>
      </c>
      <c r="AH122" s="226" cm="1">
        <f t="array" ref="AH122">IF(AH79&gt;e_ecolifetime_yr,0,$E$121/e_ecolifetime_yr)</f>
        <v>0</v>
      </c>
      <c r="AI122" s="228" cm="1">
        <f t="array" ref="AI122">IF(AI79&gt;e_ecolifetime_yr,0,$E$121/e_ecolifetime_yr)</f>
        <v>0</v>
      </c>
    </row>
    <row r="123" spans="2:35" x14ac:dyDescent="0.2">
      <c r="B123" s="234" t="s">
        <v>453</v>
      </c>
      <c r="C123" s="41"/>
      <c r="D123" s="41"/>
      <c r="E123" s="236"/>
      <c r="F123" s="236">
        <f>IF(F114-F120&gt;0,F114-F120,0)</f>
        <v>0</v>
      </c>
      <c r="G123" s="236">
        <f t="shared" ref="G123:AI123" si="5">IF(G114-G120&gt;0,G114-G120,0)</f>
        <v>0</v>
      </c>
      <c r="H123" s="236">
        <f t="shared" si="5"/>
        <v>0</v>
      </c>
      <c r="I123" s="236">
        <f t="shared" si="5"/>
        <v>0</v>
      </c>
      <c r="J123" s="236">
        <f t="shared" si="5"/>
        <v>0</v>
      </c>
      <c r="K123" s="236">
        <f t="shared" si="5"/>
        <v>0</v>
      </c>
      <c r="L123" s="236">
        <f t="shared" si="5"/>
        <v>0</v>
      </c>
      <c r="M123" s="236">
        <f t="shared" si="5"/>
        <v>0</v>
      </c>
      <c r="N123" s="236">
        <f t="shared" si="5"/>
        <v>0</v>
      </c>
      <c r="O123" s="236">
        <f t="shared" si="5"/>
        <v>0</v>
      </c>
      <c r="P123" s="236">
        <f t="shared" si="5"/>
        <v>0</v>
      </c>
      <c r="Q123" s="236">
        <f t="shared" si="5"/>
        <v>0</v>
      </c>
      <c r="R123" s="236">
        <f t="shared" si="5"/>
        <v>0</v>
      </c>
      <c r="S123" s="236">
        <f t="shared" si="5"/>
        <v>0</v>
      </c>
      <c r="T123" s="236">
        <f t="shared" si="5"/>
        <v>0</v>
      </c>
      <c r="U123" s="236">
        <f t="shared" si="5"/>
        <v>0</v>
      </c>
      <c r="V123" s="236">
        <f t="shared" si="5"/>
        <v>0</v>
      </c>
      <c r="W123" s="236">
        <f t="shared" si="5"/>
        <v>0</v>
      </c>
      <c r="X123" s="236">
        <f t="shared" si="5"/>
        <v>0</v>
      </c>
      <c r="Y123" s="236">
        <f t="shared" si="5"/>
        <v>0</v>
      </c>
      <c r="Z123" s="236">
        <f t="shared" si="5"/>
        <v>0</v>
      </c>
      <c r="AA123" s="236">
        <f t="shared" si="5"/>
        <v>0</v>
      </c>
      <c r="AB123" s="236">
        <f t="shared" si="5"/>
        <v>0</v>
      </c>
      <c r="AC123" s="236">
        <f t="shared" si="5"/>
        <v>0</v>
      </c>
      <c r="AD123" s="236">
        <f t="shared" si="5"/>
        <v>0</v>
      </c>
      <c r="AE123" s="236">
        <f t="shared" si="5"/>
        <v>0</v>
      </c>
      <c r="AF123" s="236">
        <f t="shared" si="5"/>
        <v>0</v>
      </c>
      <c r="AG123" s="236">
        <f t="shared" si="5"/>
        <v>0</v>
      </c>
      <c r="AH123" s="236">
        <f t="shared" si="5"/>
        <v>0</v>
      </c>
      <c r="AI123" s="237">
        <f t="shared" si="5"/>
        <v>0</v>
      </c>
    </row>
    <row r="124" spans="2:35" x14ac:dyDescent="0.2">
      <c r="B124" s="39" t="s">
        <v>454</v>
      </c>
      <c r="C124" s="9"/>
      <c r="D124" s="9"/>
      <c r="E124" s="231"/>
      <c r="F124" s="231">
        <f>F114-F121-F122</f>
        <v>0</v>
      </c>
      <c r="G124" s="231">
        <f t="shared" ref="G124:AI124" si="6">G114-G121-G122</f>
        <v>0</v>
      </c>
      <c r="H124" s="231">
        <f t="shared" si="6"/>
        <v>0</v>
      </c>
      <c r="I124" s="231">
        <f t="shared" si="6"/>
        <v>0</v>
      </c>
      <c r="J124" s="231">
        <f t="shared" si="6"/>
        <v>0</v>
      </c>
      <c r="K124" s="231">
        <f t="shared" si="6"/>
        <v>0</v>
      </c>
      <c r="L124" s="231">
        <f t="shared" si="6"/>
        <v>0</v>
      </c>
      <c r="M124" s="231">
        <f t="shared" si="6"/>
        <v>0</v>
      </c>
      <c r="N124" s="231">
        <f t="shared" si="6"/>
        <v>0</v>
      </c>
      <c r="O124" s="231">
        <f t="shared" si="6"/>
        <v>0</v>
      </c>
      <c r="P124" s="231">
        <f t="shared" si="6"/>
        <v>0</v>
      </c>
      <c r="Q124" s="231">
        <f t="shared" si="6"/>
        <v>0</v>
      </c>
      <c r="R124" s="231">
        <f t="shared" si="6"/>
        <v>0</v>
      </c>
      <c r="S124" s="231">
        <f t="shared" si="6"/>
        <v>0</v>
      </c>
      <c r="T124" s="231">
        <f t="shared" si="6"/>
        <v>0</v>
      </c>
      <c r="U124" s="231">
        <f t="shared" si="6"/>
        <v>0</v>
      </c>
      <c r="V124" s="231">
        <f t="shared" si="6"/>
        <v>0</v>
      </c>
      <c r="W124" s="231">
        <f t="shared" si="6"/>
        <v>0</v>
      </c>
      <c r="X124" s="231">
        <f t="shared" si="6"/>
        <v>0</v>
      </c>
      <c r="Y124" s="231">
        <f t="shared" si="6"/>
        <v>0</v>
      </c>
      <c r="Z124" s="231">
        <f t="shared" si="6"/>
        <v>0</v>
      </c>
      <c r="AA124" s="231">
        <f t="shared" si="6"/>
        <v>0</v>
      </c>
      <c r="AB124" s="231">
        <f t="shared" si="6"/>
        <v>0</v>
      </c>
      <c r="AC124" s="231">
        <f t="shared" si="6"/>
        <v>0</v>
      </c>
      <c r="AD124" s="231">
        <f t="shared" si="6"/>
        <v>0</v>
      </c>
      <c r="AE124" s="231">
        <f t="shared" si="6"/>
        <v>0</v>
      </c>
      <c r="AF124" s="231">
        <f t="shared" si="6"/>
        <v>0</v>
      </c>
      <c r="AG124" s="231">
        <f t="shared" si="6"/>
        <v>0</v>
      </c>
      <c r="AH124" s="231">
        <f t="shared" si="6"/>
        <v>0</v>
      </c>
      <c r="AI124" s="232">
        <f t="shared" si="6"/>
        <v>0</v>
      </c>
    </row>
    <row r="125" spans="2:35" x14ac:dyDescent="0.2">
      <c r="B125" s="40" t="s">
        <v>455</v>
      </c>
      <c r="C125" s="11"/>
      <c r="D125" s="7"/>
      <c r="E125" s="85"/>
      <c r="F125" s="85" cm="1">
        <f t="array" ref="F125">F123*e_taxrate_BE</f>
        <v>0</v>
      </c>
      <c r="G125" s="85" cm="1">
        <f t="array" ref="G125">G123*e_taxrate_BE</f>
        <v>0</v>
      </c>
      <c r="H125" s="85" cm="1">
        <f t="array" ref="H125">H123*e_taxrate_BE</f>
        <v>0</v>
      </c>
      <c r="I125" s="85" cm="1">
        <f t="array" ref="I125">I123*e_taxrate_BE</f>
        <v>0</v>
      </c>
      <c r="J125" s="85" cm="1">
        <f t="array" ref="J125">J123*e_taxrate_BE</f>
        <v>0</v>
      </c>
      <c r="K125" s="85" cm="1">
        <f t="array" ref="K125">K123*e_taxrate_BE</f>
        <v>0</v>
      </c>
      <c r="L125" s="85" cm="1">
        <f t="array" ref="L125">L123*e_taxrate_BE</f>
        <v>0</v>
      </c>
      <c r="M125" s="85" cm="1">
        <f t="array" ref="M125">M123*e_taxrate_BE</f>
        <v>0</v>
      </c>
      <c r="N125" s="85" cm="1">
        <f t="array" ref="N125">N123*e_taxrate_BE</f>
        <v>0</v>
      </c>
      <c r="O125" s="85" cm="1">
        <f t="array" ref="O125">O123*e_taxrate_BE</f>
        <v>0</v>
      </c>
      <c r="P125" s="85" cm="1">
        <f t="array" ref="P125">P123*e_taxrate_BE</f>
        <v>0</v>
      </c>
      <c r="Q125" s="85" cm="1">
        <f t="array" ref="Q125">Q123*e_taxrate_BE</f>
        <v>0</v>
      </c>
      <c r="R125" s="85" cm="1">
        <f t="array" ref="R125">R123*e_taxrate_BE</f>
        <v>0</v>
      </c>
      <c r="S125" s="85" cm="1">
        <f t="array" ref="S125">S123*e_taxrate_BE</f>
        <v>0</v>
      </c>
      <c r="T125" s="85" cm="1">
        <f t="array" ref="T125">T123*e_taxrate_BE</f>
        <v>0</v>
      </c>
      <c r="U125" s="85" cm="1">
        <f t="array" ref="U125">U123*e_taxrate_BE</f>
        <v>0</v>
      </c>
      <c r="V125" s="85" cm="1">
        <f t="array" ref="V125">V123*e_taxrate_BE</f>
        <v>0</v>
      </c>
      <c r="W125" s="85" cm="1">
        <f t="array" ref="W125">W123*e_taxrate_BE</f>
        <v>0</v>
      </c>
      <c r="X125" s="85" cm="1">
        <f t="array" ref="X125">X123*e_taxrate_BE</f>
        <v>0</v>
      </c>
      <c r="Y125" s="85" cm="1">
        <f t="array" ref="Y125">Y123*e_taxrate_BE</f>
        <v>0</v>
      </c>
      <c r="Z125" s="85" cm="1">
        <f t="array" ref="Z125">Z123*e_taxrate_BE</f>
        <v>0</v>
      </c>
      <c r="AA125" s="85" cm="1">
        <f t="array" ref="AA125">AA123*e_taxrate_BE</f>
        <v>0</v>
      </c>
      <c r="AB125" s="85" cm="1">
        <f t="array" ref="AB125">AB123*e_taxrate_BE</f>
        <v>0</v>
      </c>
      <c r="AC125" s="85" cm="1">
        <f t="array" ref="AC125">AC123*e_taxrate_BE</f>
        <v>0</v>
      </c>
      <c r="AD125" s="85" cm="1">
        <f t="array" ref="AD125">AD123*e_taxrate_BE</f>
        <v>0</v>
      </c>
      <c r="AE125" s="85" cm="1">
        <f t="array" ref="AE125">AE123*e_taxrate_BE</f>
        <v>0</v>
      </c>
      <c r="AF125" s="85" cm="1">
        <f t="array" ref="AF125">AF123*e_taxrate_BE</f>
        <v>0</v>
      </c>
      <c r="AG125" s="85" cm="1">
        <f t="array" ref="AG125">AG123*e_taxrate_BE</f>
        <v>0</v>
      </c>
      <c r="AH125" s="85" cm="1">
        <f t="array" ref="AH125">AH123*e_taxrate_BE</f>
        <v>0</v>
      </c>
      <c r="AI125" s="233" cm="1">
        <f t="array" ref="AI125">AI123*e_taxrate_BE</f>
        <v>0</v>
      </c>
    </row>
    <row r="126" spans="2:35" x14ac:dyDescent="0.2">
      <c r="B126" s="39" t="s">
        <v>456</v>
      </c>
      <c r="C126" s="9"/>
      <c r="D126" s="9"/>
      <c r="E126" s="231">
        <f>-E80+E121</f>
        <v>0</v>
      </c>
      <c r="F126" s="231">
        <f>IF(F124&gt;0,F124-F125,F124)</f>
        <v>0</v>
      </c>
      <c r="G126" s="231">
        <f t="shared" ref="G126:AI126" si="7">IF(G124&gt;0,G124-G125,G124)</f>
        <v>0</v>
      </c>
      <c r="H126" s="231">
        <f t="shared" si="7"/>
        <v>0</v>
      </c>
      <c r="I126" s="231">
        <f t="shared" si="7"/>
        <v>0</v>
      </c>
      <c r="J126" s="231">
        <f t="shared" si="7"/>
        <v>0</v>
      </c>
      <c r="K126" s="231">
        <f t="shared" si="7"/>
        <v>0</v>
      </c>
      <c r="L126" s="231">
        <f t="shared" si="7"/>
        <v>0</v>
      </c>
      <c r="M126" s="231">
        <f t="shared" si="7"/>
        <v>0</v>
      </c>
      <c r="N126" s="231">
        <f t="shared" si="7"/>
        <v>0</v>
      </c>
      <c r="O126" s="231">
        <f t="shared" si="7"/>
        <v>0</v>
      </c>
      <c r="P126" s="231">
        <f t="shared" si="7"/>
        <v>0</v>
      </c>
      <c r="Q126" s="231">
        <f t="shared" si="7"/>
        <v>0</v>
      </c>
      <c r="R126" s="231">
        <f t="shared" si="7"/>
        <v>0</v>
      </c>
      <c r="S126" s="231">
        <f t="shared" si="7"/>
        <v>0</v>
      </c>
      <c r="T126" s="231">
        <f t="shared" si="7"/>
        <v>0</v>
      </c>
      <c r="U126" s="231">
        <f t="shared" si="7"/>
        <v>0</v>
      </c>
      <c r="V126" s="231">
        <f t="shared" si="7"/>
        <v>0</v>
      </c>
      <c r="W126" s="231">
        <f t="shared" si="7"/>
        <v>0</v>
      </c>
      <c r="X126" s="231">
        <f t="shared" si="7"/>
        <v>0</v>
      </c>
      <c r="Y126" s="231">
        <f t="shared" si="7"/>
        <v>0</v>
      </c>
      <c r="Z126" s="231">
        <f t="shared" si="7"/>
        <v>0</v>
      </c>
      <c r="AA126" s="231">
        <f t="shared" si="7"/>
        <v>0</v>
      </c>
      <c r="AB126" s="231">
        <f t="shared" si="7"/>
        <v>0</v>
      </c>
      <c r="AC126" s="231">
        <f t="shared" si="7"/>
        <v>0</v>
      </c>
      <c r="AD126" s="231">
        <f t="shared" si="7"/>
        <v>0</v>
      </c>
      <c r="AE126" s="231">
        <f t="shared" si="7"/>
        <v>0</v>
      </c>
      <c r="AF126" s="231">
        <f t="shared" si="7"/>
        <v>0</v>
      </c>
      <c r="AG126" s="231">
        <f t="shared" si="7"/>
        <v>0</v>
      </c>
      <c r="AH126" s="231">
        <f t="shared" si="7"/>
        <v>0</v>
      </c>
      <c r="AI126" s="232">
        <f t="shared" si="7"/>
        <v>0</v>
      </c>
    </row>
    <row r="127" spans="2:35" x14ac:dyDescent="0.2">
      <c r="B127" s="40" t="s">
        <v>457</v>
      </c>
      <c r="C127" s="11"/>
      <c r="D127" s="7"/>
      <c r="E127" s="85"/>
      <c r="F127" s="85" cm="1">
        <f t="array" ref="F127">F126/(1+e_WACC)^F79</f>
        <v>0</v>
      </c>
      <c r="G127" s="85" cm="1">
        <f t="array" ref="G127">G126/(1+e_WACC)^G79</f>
        <v>0</v>
      </c>
      <c r="H127" s="85" cm="1">
        <f t="array" ref="H127">H126/(1+e_WACC)^H79</f>
        <v>0</v>
      </c>
      <c r="I127" s="85" cm="1">
        <f t="array" ref="I127">I126/(1+e_WACC)^I79</f>
        <v>0</v>
      </c>
      <c r="J127" s="85" cm="1">
        <f t="array" ref="J127">J126/(1+e_WACC)^J79</f>
        <v>0</v>
      </c>
      <c r="K127" s="85" cm="1">
        <f t="array" ref="K127">K126/(1+e_WACC)^K79</f>
        <v>0</v>
      </c>
      <c r="L127" s="85" cm="1">
        <f t="array" ref="L127">L126/(1+e_WACC)^L79</f>
        <v>0</v>
      </c>
      <c r="M127" s="85" cm="1">
        <f t="array" ref="M127">M126/(1+e_WACC)^M79</f>
        <v>0</v>
      </c>
      <c r="N127" s="85" cm="1">
        <f t="array" ref="N127">N126/(1+e_WACC)^N79</f>
        <v>0</v>
      </c>
      <c r="O127" s="85" cm="1">
        <f t="array" ref="O127">O126/(1+e_WACC)^O79</f>
        <v>0</v>
      </c>
      <c r="P127" s="85" cm="1">
        <f t="array" ref="P127">P126/(1+e_WACC)^P79</f>
        <v>0</v>
      </c>
      <c r="Q127" s="85" cm="1">
        <f t="array" ref="Q127">Q126/(1+e_WACC)^Q79</f>
        <v>0</v>
      </c>
      <c r="R127" s="85" cm="1">
        <f t="array" ref="R127">R126/(1+e_WACC)^R79</f>
        <v>0</v>
      </c>
      <c r="S127" s="85" cm="1">
        <f t="array" ref="S127">S126/(1+e_WACC)^S79</f>
        <v>0</v>
      </c>
      <c r="T127" s="85" cm="1">
        <f t="array" ref="T127">T126/(1+e_WACC)^T79</f>
        <v>0</v>
      </c>
      <c r="U127" s="85" cm="1">
        <f t="array" ref="U127">U126/(1+e_WACC)^U79</f>
        <v>0</v>
      </c>
      <c r="V127" s="85" cm="1">
        <f t="array" ref="V127">V126/(1+e_WACC)^V79</f>
        <v>0</v>
      </c>
      <c r="W127" s="85" cm="1">
        <f t="array" ref="W127">W126/(1+e_WACC)^W79</f>
        <v>0</v>
      </c>
      <c r="X127" s="85" cm="1">
        <f t="array" ref="X127">X126/(1+e_WACC)^X79</f>
        <v>0</v>
      </c>
      <c r="Y127" s="85" cm="1">
        <f t="array" ref="Y127">Y126/(1+e_WACC)^Y79</f>
        <v>0</v>
      </c>
      <c r="Z127" s="85" cm="1">
        <f t="array" ref="Z127">Z126/(1+e_WACC)^Z79</f>
        <v>0</v>
      </c>
      <c r="AA127" s="85" cm="1">
        <f t="array" ref="AA127">AA126/(1+e_WACC)^AA79</f>
        <v>0</v>
      </c>
      <c r="AB127" s="85" cm="1">
        <f t="array" ref="AB127">AB126/(1+e_WACC)^AB79</f>
        <v>0</v>
      </c>
      <c r="AC127" s="85" cm="1">
        <f t="array" ref="AC127">AC126/(1+e_WACC)^AC79</f>
        <v>0</v>
      </c>
      <c r="AD127" s="85" cm="1">
        <f t="array" ref="AD127">AD126/(1+e_WACC)^AD79</f>
        <v>0</v>
      </c>
      <c r="AE127" s="85" cm="1">
        <f t="array" ref="AE127">AE126/(1+e_WACC)^AE79</f>
        <v>0</v>
      </c>
      <c r="AF127" s="85" cm="1">
        <f t="array" ref="AF127">AF126/(1+e_WACC)^AF79</f>
        <v>0</v>
      </c>
      <c r="AG127" s="85" cm="1">
        <f t="array" ref="AG127">AG126/(1+e_WACC)^AG79</f>
        <v>0</v>
      </c>
      <c r="AH127" s="85" cm="1">
        <f t="array" ref="AH127">AH126/(1+e_WACC)^AH79</f>
        <v>0</v>
      </c>
      <c r="AI127" s="233" cm="1">
        <f t="array" ref="AI127">AI126/(1+e_WACC)^AI79</f>
        <v>0</v>
      </c>
    </row>
    <row r="128" spans="2:35" x14ac:dyDescent="0.2">
      <c r="B128" s="39" t="s">
        <v>458</v>
      </c>
      <c r="C128" s="9"/>
      <c r="E128" s="226"/>
      <c r="F128" s="226">
        <f>E126+F126</f>
        <v>0</v>
      </c>
      <c r="G128" s="226">
        <f>F128+G126</f>
        <v>0</v>
      </c>
      <c r="H128" s="226">
        <f>G128+H126</f>
        <v>0</v>
      </c>
      <c r="I128" s="226">
        <f t="shared" ref="I128:AI129" si="8">H128+I126</f>
        <v>0</v>
      </c>
      <c r="J128" s="226">
        <f t="shared" si="8"/>
        <v>0</v>
      </c>
      <c r="K128" s="226">
        <f t="shared" si="8"/>
        <v>0</v>
      </c>
      <c r="L128" s="226">
        <f t="shared" si="8"/>
        <v>0</v>
      </c>
      <c r="M128" s="226">
        <f t="shared" si="8"/>
        <v>0</v>
      </c>
      <c r="N128" s="226">
        <f t="shared" si="8"/>
        <v>0</v>
      </c>
      <c r="O128" s="226">
        <f t="shared" si="8"/>
        <v>0</v>
      </c>
      <c r="P128" s="226">
        <f t="shared" si="8"/>
        <v>0</v>
      </c>
      <c r="Q128" s="226">
        <f t="shared" si="8"/>
        <v>0</v>
      </c>
      <c r="R128" s="226">
        <f t="shared" si="8"/>
        <v>0</v>
      </c>
      <c r="S128" s="226">
        <f t="shared" si="8"/>
        <v>0</v>
      </c>
      <c r="T128" s="226">
        <f t="shared" si="8"/>
        <v>0</v>
      </c>
      <c r="U128" s="226">
        <f t="shared" si="8"/>
        <v>0</v>
      </c>
      <c r="V128" s="226">
        <f t="shared" si="8"/>
        <v>0</v>
      </c>
      <c r="W128" s="226">
        <f t="shared" si="8"/>
        <v>0</v>
      </c>
      <c r="X128" s="226">
        <f t="shared" si="8"/>
        <v>0</v>
      </c>
      <c r="Y128" s="226">
        <f t="shared" si="8"/>
        <v>0</v>
      </c>
      <c r="Z128" s="226">
        <f t="shared" si="8"/>
        <v>0</v>
      </c>
      <c r="AA128" s="226">
        <f t="shared" si="8"/>
        <v>0</v>
      </c>
      <c r="AB128" s="226">
        <f t="shared" si="8"/>
        <v>0</v>
      </c>
      <c r="AC128" s="226">
        <f t="shared" si="8"/>
        <v>0</v>
      </c>
      <c r="AD128" s="226">
        <f t="shared" si="8"/>
        <v>0</v>
      </c>
      <c r="AE128" s="226">
        <f t="shared" si="8"/>
        <v>0</v>
      </c>
      <c r="AF128" s="226">
        <f t="shared" si="8"/>
        <v>0</v>
      </c>
      <c r="AG128" s="226">
        <f t="shared" si="8"/>
        <v>0</v>
      </c>
      <c r="AH128" s="226">
        <f t="shared" si="8"/>
        <v>0</v>
      </c>
      <c r="AI128" s="228">
        <f t="shared" si="8"/>
        <v>0</v>
      </c>
    </row>
    <row r="129" spans="2:35" x14ac:dyDescent="0.2">
      <c r="B129" s="39" t="s">
        <v>459</v>
      </c>
      <c r="C129" s="9"/>
      <c r="E129" s="226"/>
      <c r="F129" s="226">
        <f>E126+F127</f>
        <v>0</v>
      </c>
      <c r="G129" s="226">
        <f>F129+G127</f>
        <v>0</v>
      </c>
      <c r="H129" s="226">
        <f>G129+H127</f>
        <v>0</v>
      </c>
      <c r="I129" s="226">
        <f t="shared" si="8"/>
        <v>0</v>
      </c>
      <c r="J129" s="226">
        <f t="shared" si="8"/>
        <v>0</v>
      </c>
      <c r="K129" s="226">
        <f t="shared" si="8"/>
        <v>0</v>
      </c>
      <c r="L129" s="226">
        <f t="shared" si="8"/>
        <v>0</v>
      </c>
      <c r="M129" s="226">
        <f t="shared" si="8"/>
        <v>0</v>
      </c>
      <c r="N129" s="226">
        <f t="shared" si="8"/>
        <v>0</v>
      </c>
      <c r="O129" s="226">
        <f t="shared" si="8"/>
        <v>0</v>
      </c>
      <c r="P129" s="226">
        <f t="shared" si="8"/>
        <v>0</v>
      </c>
      <c r="Q129" s="226">
        <f t="shared" si="8"/>
        <v>0</v>
      </c>
      <c r="R129" s="226">
        <f t="shared" si="8"/>
        <v>0</v>
      </c>
      <c r="S129" s="226">
        <f t="shared" si="8"/>
        <v>0</v>
      </c>
      <c r="T129" s="226">
        <f t="shared" si="8"/>
        <v>0</v>
      </c>
      <c r="U129" s="226">
        <f t="shared" si="8"/>
        <v>0</v>
      </c>
      <c r="V129" s="226">
        <f t="shared" si="8"/>
        <v>0</v>
      </c>
      <c r="W129" s="226">
        <f t="shared" si="8"/>
        <v>0</v>
      </c>
      <c r="X129" s="226">
        <f t="shared" si="8"/>
        <v>0</v>
      </c>
      <c r="Y129" s="226">
        <f t="shared" si="8"/>
        <v>0</v>
      </c>
      <c r="Z129" s="226">
        <f t="shared" si="8"/>
        <v>0</v>
      </c>
      <c r="AA129" s="226">
        <f t="shared" si="8"/>
        <v>0</v>
      </c>
      <c r="AB129" s="226">
        <f t="shared" si="8"/>
        <v>0</v>
      </c>
      <c r="AC129" s="226">
        <f t="shared" si="8"/>
        <v>0</v>
      </c>
      <c r="AD129" s="226">
        <f t="shared" si="8"/>
        <v>0</v>
      </c>
      <c r="AE129" s="226">
        <f t="shared" si="8"/>
        <v>0</v>
      </c>
      <c r="AF129" s="226">
        <f t="shared" si="8"/>
        <v>0</v>
      </c>
      <c r="AG129" s="226">
        <f t="shared" si="8"/>
        <v>0</v>
      </c>
      <c r="AH129" s="226">
        <f t="shared" si="8"/>
        <v>0</v>
      </c>
      <c r="AI129" s="228">
        <f t="shared" si="8"/>
        <v>0</v>
      </c>
    </row>
    <row r="130" spans="2:35" x14ac:dyDescent="0.2">
      <c r="B130" s="39" t="s">
        <v>171</v>
      </c>
      <c r="C130" s="9"/>
      <c r="F130" s="1" t="e">
        <f>IF(F128&lt;0,1,-E126/F126)</f>
        <v>#DIV/0!</v>
      </c>
      <c r="G130" s="1" t="e">
        <f>IF(G128&lt;0,1,-F128/G126)</f>
        <v>#DIV/0!</v>
      </c>
      <c r="H130" s="1" t="e">
        <f>IF(H128&lt;0,1,-G128/H126)</f>
        <v>#DIV/0!</v>
      </c>
      <c r="I130" s="1" t="e">
        <f t="shared" ref="I130:AI131" si="9">IF(I128&lt;0,1,-H128/I126)</f>
        <v>#DIV/0!</v>
      </c>
      <c r="J130" s="1" t="e">
        <f t="shared" si="9"/>
        <v>#DIV/0!</v>
      </c>
      <c r="K130" s="1" t="e">
        <f t="shared" si="9"/>
        <v>#DIV/0!</v>
      </c>
      <c r="L130" s="1" t="e">
        <f t="shared" si="9"/>
        <v>#DIV/0!</v>
      </c>
      <c r="M130" s="1" t="e">
        <f t="shared" si="9"/>
        <v>#DIV/0!</v>
      </c>
      <c r="N130" s="1" t="e">
        <f t="shared" si="9"/>
        <v>#DIV/0!</v>
      </c>
      <c r="O130" s="1" t="e">
        <f t="shared" si="9"/>
        <v>#DIV/0!</v>
      </c>
      <c r="P130" s="1" t="e">
        <f t="shared" si="9"/>
        <v>#DIV/0!</v>
      </c>
      <c r="Q130" s="1" t="e">
        <f t="shared" si="9"/>
        <v>#DIV/0!</v>
      </c>
      <c r="R130" s="1" t="e">
        <f t="shared" si="9"/>
        <v>#DIV/0!</v>
      </c>
      <c r="S130" s="1" t="e">
        <f t="shared" si="9"/>
        <v>#DIV/0!</v>
      </c>
      <c r="T130" s="1" t="e">
        <f t="shared" si="9"/>
        <v>#DIV/0!</v>
      </c>
      <c r="U130" s="1" t="e">
        <f t="shared" si="9"/>
        <v>#DIV/0!</v>
      </c>
      <c r="V130" s="1" t="e">
        <f t="shared" si="9"/>
        <v>#DIV/0!</v>
      </c>
      <c r="W130" s="1" t="e">
        <f t="shared" si="9"/>
        <v>#DIV/0!</v>
      </c>
      <c r="X130" s="1" t="e">
        <f t="shared" si="9"/>
        <v>#DIV/0!</v>
      </c>
      <c r="Y130" s="1" t="e">
        <f t="shared" si="9"/>
        <v>#DIV/0!</v>
      </c>
      <c r="Z130" s="1" t="e">
        <f t="shared" si="9"/>
        <v>#DIV/0!</v>
      </c>
      <c r="AA130" s="1" t="e">
        <f t="shared" si="9"/>
        <v>#DIV/0!</v>
      </c>
      <c r="AB130" s="1" t="e">
        <f t="shared" si="9"/>
        <v>#DIV/0!</v>
      </c>
      <c r="AC130" s="1" t="e">
        <f t="shared" si="9"/>
        <v>#DIV/0!</v>
      </c>
      <c r="AD130" s="1" t="e">
        <f t="shared" si="9"/>
        <v>#DIV/0!</v>
      </c>
      <c r="AE130" s="1" t="e">
        <f t="shared" si="9"/>
        <v>#DIV/0!</v>
      </c>
      <c r="AF130" s="1" t="e">
        <f t="shared" si="9"/>
        <v>#DIV/0!</v>
      </c>
      <c r="AG130" s="1" t="e">
        <f t="shared" si="9"/>
        <v>#DIV/0!</v>
      </c>
      <c r="AH130" s="1" t="e">
        <f t="shared" si="9"/>
        <v>#DIV/0!</v>
      </c>
      <c r="AI130" s="42" t="e">
        <f t="shared" si="9"/>
        <v>#DIV/0!</v>
      </c>
    </row>
    <row r="131" spans="2:35" x14ac:dyDescent="0.2">
      <c r="B131" s="40" t="s">
        <v>173</v>
      </c>
      <c r="C131" s="11"/>
      <c r="D131" s="7"/>
      <c r="E131" s="7"/>
      <c r="F131" s="7" t="e">
        <f>IF(F129&lt;0,1,-E126/F127)</f>
        <v>#DIV/0!</v>
      </c>
      <c r="G131" s="7" t="e">
        <f>IF(G129&lt;0,1,-F129/G127)</f>
        <v>#DIV/0!</v>
      </c>
      <c r="H131" s="7" t="e">
        <f>IF(H129&lt;0,1,-G129/H127)</f>
        <v>#DIV/0!</v>
      </c>
      <c r="I131" s="7" t="e">
        <f t="shared" si="9"/>
        <v>#DIV/0!</v>
      </c>
      <c r="J131" s="7" t="e">
        <f t="shared" si="9"/>
        <v>#DIV/0!</v>
      </c>
      <c r="K131" s="7" t="e">
        <f t="shared" si="9"/>
        <v>#DIV/0!</v>
      </c>
      <c r="L131" s="7" t="e">
        <f t="shared" si="9"/>
        <v>#DIV/0!</v>
      </c>
      <c r="M131" s="7" t="e">
        <f t="shared" si="9"/>
        <v>#DIV/0!</v>
      </c>
      <c r="N131" s="7" t="e">
        <f t="shared" si="9"/>
        <v>#DIV/0!</v>
      </c>
      <c r="O131" s="7" t="e">
        <f t="shared" si="9"/>
        <v>#DIV/0!</v>
      </c>
      <c r="P131" s="7" t="e">
        <f t="shared" si="9"/>
        <v>#DIV/0!</v>
      </c>
      <c r="Q131" s="7" t="e">
        <f t="shared" si="9"/>
        <v>#DIV/0!</v>
      </c>
      <c r="R131" s="7" t="e">
        <f t="shared" si="9"/>
        <v>#DIV/0!</v>
      </c>
      <c r="S131" s="7" t="e">
        <f t="shared" si="9"/>
        <v>#DIV/0!</v>
      </c>
      <c r="T131" s="7" t="e">
        <f t="shared" si="9"/>
        <v>#DIV/0!</v>
      </c>
      <c r="U131" s="7" t="e">
        <f t="shared" si="9"/>
        <v>#DIV/0!</v>
      </c>
      <c r="V131" s="7" t="e">
        <f t="shared" si="9"/>
        <v>#DIV/0!</v>
      </c>
      <c r="W131" s="7" t="e">
        <f t="shared" si="9"/>
        <v>#DIV/0!</v>
      </c>
      <c r="X131" s="7" t="e">
        <f t="shared" si="9"/>
        <v>#DIV/0!</v>
      </c>
      <c r="Y131" s="7" t="e">
        <f t="shared" si="9"/>
        <v>#DIV/0!</v>
      </c>
      <c r="Z131" s="7" t="e">
        <f t="shared" si="9"/>
        <v>#DIV/0!</v>
      </c>
      <c r="AA131" s="7" t="e">
        <f t="shared" si="9"/>
        <v>#DIV/0!</v>
      </c>
      <c r="AB131" s="7" t="e">
        <f t="shared" si="9"/>
        <v>#DIV/0!</v>
      </c>
      <c r="AC131" s="7" t="e">
        <f t="shared" si="9"/>
        <v>#DIV/0!</v>
      </c>
      <c r="AD131" s="7" t="e">
        <f t="shared" si="9"/>
        <v>#DIV/0!</v>
      </c>
      <c r="AE131" s="7" t="e">
        <f t="shared" si="9"/>
        <v>#DIV/0!</v>
      </c>
      <c r="AF131" s="7" t="e">
        <f t="shared" si="9"/>
        <v>#DIV/0!</v>
      </c>
      <c r="AG131" s="7" t="e">
        <f t="shared" si="9"/>
        <v>#DIV/0!</v>
      </c>
      <c r="AH131" s="7" t="e">
        <f t="shared" si="9"/>
        <v>#DIV/0!</v>
      </c>
      <c r="AI131" s="182" t="e">
        <f t="shared" si="9"/>
        <v>#DIV/0!</v>
      </c>
    </row>
    <row r="134" spans="2:35" x14ac:dyDescent="0.2">
      <c r="B134" s="10" t="s">
        <v>460</v>
      </c>
      <c r="C134" s="200" t="s">
        <v>136</v>
      </c>
      <c r="D134" s="207" t="s">
        <v>401</v>
      </c>
    </row>
    <row r="135" spans="2:35" x14ac:dyDescent="0.2">
      <c r="B135" s="41" t="s">
        <v>168</v>
      </c>
      <c r="C135" s="2" t="s">
        <v>164</v>
      </c>
      <c r="D135" s="369" cm="1">
        <f t="array" ref="D135">NPV(e_WACC,F126:AI126)+E126</f>
        <v>0</v>
      </c>
    </row>
    <row r="136" spans="2:35" x14ac:dyDescent="0.2">
      <c r="B136" s="9" t="s">
        <v>169</v>
      </c>
      <c r="C136" s="2" t="s">
        <v>170</v>
      </c>
      <c r="D136" s="86" t="e">
        <f>IRR(E126:AI126)</f>
        <v>#NUM!</v>
      </c>
    </row>
    <row r="137" spans="2:35" x14ac:dyDescent="0.2">
      <c r="B137" s="9" t="s">
        <v>171</v>
      </c>
      <c r="C137" s="2" t="s">
        <v>172</v>
      </c>
      <c r="D137" s="87">
        <f>SUMIF(F130:AI130,"&gt;0")-SUMIF(F130:AI130,"&gt;1")</f>
        <v>0</v>
      </c>
    </row>
    <row r="138" spans="2:35" x14ac:dyDescent="0.2">
      <c r="B138" s="11" t="s">
        <v>173</v>
      </c>
      <c r="C138" s="123" t="s">
        <v>172</v>
      </c>
      <c r="D138" s="87">
        <f>SUMIF(F131:AI131,"&gt;0")-SUMIF(F131:AI131,"&gt;1")</f>
        <v>0</v>
      </c>
    </row>
    <row r="139" spans="2:35" x14ac:dyDescent="0.2">
      <c r="B139" s="62" t="s">
        <v>174</v>
      </c>
      <c r="C139" s="2" t="s">
        <v>166</v>
      </c>
      <c r="D139" s="369">
        <f>F86</f>
        <v>0</v>
      </c>
    </row>
    <row r="140" spans="2:35" x14ac:dyDescent="0.2">
      <c r="B140" s="20" t="s">
        <v>175</v>
      </c>
      <c r="C140" s="2" t="str">
        <f>'1. Pathway 1'!$C$143</f>
        <v>€/ton H2</v>
      </c>
      <c r="D140" s="370"/>
    </row>
    <row r="141" spans="2:35" x14ac:dyDescent="0.2">
      <c r="B141" s="88" t="s">
        <v>176</v>
      </c>
      <c r="C141" s="201" t="str">
        <f>'1. Pathway 1'!$C$144</f>
        <v>€/ton H2</v>
      </c>
      <c r="D141" s="371"/>
    </row>
    <row r="142" spans="2:35" x14ac:dyDescent="0.2">
      <c r="B142" s="132" t="s">
        <v>177</v>
      </c>
      <c r="C142" s="202" t="str">
        <f>'1. Pathway 1'!$C$145</f>
        <v>€/ton H2</v>
      </c>
      <c r="D142" s="372"/>
    </row>
    <row r="145" spans="2:8" x14ac:dyDescent="0.2">
      <c r="B145" s="209" t="s">
        <v>463</v>
      </c>
      <c r="C145" s="210"/>
      <c r="D145" s="210"/>
      <c r="E145" s="210"/>
      <c r="F145" s="210"/>
      <c r="G145" s="210"/>
      <c r="H145" s="212"/>
    </row>
    <row r="146" spans="2:8" x14ac:dyDescent="0.2">
      <c r="B146" s="373" t="s">
        <v>20</v>
      </c>
      <c r="C146" s="373" t="s">
        <v>147</v>
      </c>
      <c r="D146" s="373"/>
      <c r="E146" s="373" t="s">
        <v>136</v>
      </c>
      <c r="F146" s="373" t="s">
        <v>464</v>
      </c>
      <c r="G146" s="72" t="s">
        <v>415</v>
      </c>
      <c r="H146" s="214"/>
    </row>
    <row r="147" spans="2:8" x14ac:dyDescent="0.2">
      <c r="B147" s="374" t="s">
        <v>465</v>
      </c>
      <c r="C147" s="210"/>
      <c r="D147" s="210"/>
      <c r="E147" s="210"/>
      <c r="F147" s="210"/>
      <c r="G147" s="210"/>
      <c r="H147" s="212"/>
    </row>
    <row r="148" spans="2:8" x14ac:dyDescent="0.2">
      <c r="B148" s="77" t="s">
        <v>47</v>
      </c>
      <c r="C148" s="1" t="s">
        <v>470</v>
      </c>
      <c r="E148" s="1" t="str">
        <f>"kg CO2eq/" &amp; IF(Technology!$C$32="","FU",Technology!$C$32)</f>
        <v>kg CO2eq/ton H2</v>
      </c>
      <c r="F148" s="130"/>
      <c r="H148" s="42"/>
    </row>
    <row r="149" spans="2:8" x14ac:dyDescent="0.2">
      <c r="B149" s="77"/>
      <c r="C149" s="1" t="s">
        <v>466</v>
      </c>
      <c r="E149" s="1" t="str">
        <f>"kg CO2eq/" &amp; IF(Technology!$C$32="","FU",Technology!$C$32)</f>
        <v>kg CO2eq/ton H2</v>
      </c>
      <c r="F149" s="130"/>
      <c r="H149" s="42"/>
    </row>
    <row r="150" spans="2:8" x14ac:dyDescent="0.2">
      <c r="B150" s="77"/>
      <c r="C150" s="1" t="s">
        <v>211</v>
      </c>
      <c r="D150" s="1" t="s">
        <v>199</v>
      </c>
      <c r="E150" s="1" t="str">
        <f>"kg CO2eq/" &amp; IF(Technology!$C$32="","FU",Technology!$C$32)</f>
        <v>kg CO2eq/ton H2</v>
      </c>
      <c r="F150" s="130"/>
      <c r="H150" s="42"/>
    </row>
    <row r="151" spans="2:8" x14ac:dyDescent="0.2">
      <c r="B151" s="77"/>
      <c r="D151" s="1" t="s">
        <v>624</v>
      </c>
      <c r="E151" s="1" t="str">
        <f>"kg CO2eq/" &amp; IF(Technology!$C$32="","FU",Technology!$C$32)</f>
        <v>kg CO2eq/ton H2</v>
      </c>
      <c r="F151" s="130"/>
      <c r="H151" s="42"/>
    </row>
    <row r="152" spans="2:8" x14ac:dyDescent="0.2">
      <c r="B152" s="77"/>
      <c r="C152" s="1" t="s">
        <v>625</v>
      </c>
      <c r="E152" s="1" t="str">
        <f>"kg CO2eq/" &amp; IF(Technology!$C$32="","FU",Technology!$C$32)</f>
        <v>kg CO2eq/ton H2</v>
      </c>
      <c r="F152" s="130"/>
      <c r="H152" s="42"/>
    </row>
    <row r="153" spans="2:8" x14ac:dyDescent="0.2">
      <c r="B153" s="77"/>
      <c r="C153" s="1" t="s">
        <v>223</v>
      </c>
      <c r="E153" s="1" t="str">
        <f>"kg CO2eq/" &amp; IF(Technology!$C$32="","FU",Technology!$C$32)</f>
        <v>kg CO2eq/ton H2</v>
      </c>
      <c r="F153" s="130"/>
      <c r="H153" s="42"/>
    </row>
    <row r="154" spans="2:8" x14ac:dyDescent="0.2">
      <c r="B154" s="77"/>
      <c r="F154" s="130"/>
      <c r="H154" s="42"/>
    </row>
    <row r="155" spans="2:8" x14ac:dyDescent="0.2">
      <c r="B155" s="77" t="s">
        <v>47</v>
      </c>
      <c r="C155" s="1" t="s">
        <v>470</v>
      </c>
      <c r="E155" s="1" t="str">
        <f>"kg CO2eq/" &amp; IF(Technology!$C$32="","FU",Technology!$C$32)</f>
        <v>kg CO2eq/ton H2</v>
      </c>
      <c r="F155" s="130"/>
      <c r="H155" s="42"/>
    </row>
    <row r="156" spans="2:8" x14ac:dyDescent="0.2">
      <c r="B156" s="77"/>
      <c r="C156" s="1" t="s">
        <v>466</v>
      </c>
      <c r="E156" s="1" t="str">
        <f>"kg CO2eq/" &amp; IF(Technology!$C$32="","FU",Technology!$C$32)</f>
        <v>kg CO2eq/ton H2</v>
      </c>
      <c r="F156" s="130"/>
      <c r="H156" s="42"/>
    </row>
    <row r="157" spans="2:8" x14ac:dyDescent="0.2">
      <c r="B157" s="77"/>
      <c r="C157" s="1" t="s">
        <v>211</v>
      </c>
      <c r="D157" s="1" t="s">
        <v>151</v>
      </c>
      <c r="E157" s="1" t="str">
        <f>"kg CO2eq/" &amp; IF(Technology!$C$32="","FU",Technology!$C$32)</f>
        <v>kg CO2eq/ton H2</v>
      </c>
      <c r="F157" s="130"/>
      <c r="H157" s="42"/>
    </row>
    <row r="158" spans="2:8" x14ac:dyDescent="0.2">
      <c r="B158" s="77"/>
      <c r="D158" s="1" t="s">
        <v>624</v>
      </c>
      <c r="E158" s="1" t="str">
        <f>"kg CO2eq/" &amp; IF(Technology!$C$32="","FU",Technology!$C$32)</f>
        <v>kg CO2eq/ton H2</v>
      </c>
      <c r="F158" s="130"/>
      <c r="H158" s="42"/>
    </row>
    <row r="159" spans="2:8" x14ac:dyDescent="0.2">
      <c r="B159" s="77"/>
      <c r="C159" s="1" t="s">
        <v>625</v>
      </c>
      <c r="E159" s="1" t="str">
        <f>"kg CO2eq/" &amp; IF(Technology!$C$32="","FU",Technology!$C$32)</f>
        <v>kg CO2eq/ton H2</v>
      </c>
      <c r="F159" s="130"/>
      <c r="H159" s="42"/>
    </row>
    <row r="160" spans="2:8" x14ac:dyDescent="0.2">
      <c r="B160" s="77"/>
      <c r="C160" s="1" t="s">
        <v>223</v>
      </c>
      <c r="E160" s="1" t="str">
        <f>"kg CO2eq/" &amp; IF(Technology!$C$32="","FU",Technology!$C$32)</f>
        <v>kg CO2eq/ton H2</v>
      </c>
      <c r="F160" s="130"/>
      <c r="H160" s="42"/>
    </row>
    <row r="161" spans="2:8" x14ac:dyDescent="0.2">
      <c r="B161" s="77"/>
      <c r="F161" s="130"/>
      <c r="H161" s="42"/>
    </row>
    <row r="162" spans="2:8" x14ac:dyDescent="0.2">
      <c r="B162" s="72" t="s">
        <v>469</v>
      </c>
      <c r="C162" s="45"/>
      <c r="D162" s="45"/>
      <c r="E162" s="45"/>
      <c r="F162" s="216"/>
      <c r="G162" s="45"/>
      <c r="H162" s="214"/>
    </row>
    <row r="163" spans="2:8" x14ac:dyDescent="0.2">
      <c r="B163" s="77" t="s">
        <v>47</v>
      </c>
      <c r="C163" s="1" t="s">
        <v>470</v>
      </c>
      <c r="E163" s="1" t="str">
        <f>"kg CO2eq/" &amp; IF(Technology!$C$32="","FU",Technology!$C$32)</f>
        <v>kg CO2eq/ton H2</v>
      </c>
      <c r="F163" s="130"/>
      <c r="H163" s="42"/>
    </row>
    <row r="164" spans="2:8" x14ac:dyDescent="0.2">
      <c r="B164" s="77"/>
      <c r="C164" s="1" t="s">
        <v>466</v>
      </c>
      <c r="E164" s="1" t="str">
        <f>"kg CO2eq/" &amp; IF(Technology!$C$32="","FU",Technology!$C$32)</f>
        <v>kg CO2eq/ton H2</v>
      </c>
      <c r="F164" s="130"/>
      <c r="H164" s="42"/>
    </row>
    <row r="165" spans="2:8" x14ac:dyDescent="0.2">
      <c r="B165" s="77"/>
      <c r="C165" s="1" t="s">
        <v>211</v>
      </c>
      <c r="D165" s="1" t="s">
        <v>151</v>
      </c>
      <c r="E165" s="1" t="str">
        <f>"kg CO2eq/" &amp; IF(Technology!$C$32="","FU",Technology!$C$32)</f>
        <v>kg CO2eq/ton H2</v>
      </c>
      <c r="F165" s="130"/>
      <c r="H165" s="42"/>
    </row>
    <row r="166" spans="2:8" x14ac:dyDescent="0.2">
      <c r="B166" s="77"/>
      <c r="D166" s="1" t="s">
        <v>624</v>
      </c>
      <c r="E166" s="1" t="str">
        <f>"kg CO2eq/" &amp; IF(Technology!$C$32="","FU",Technology!$C$32)</f>
        <v>kg CO2eq/ton H2</v>
      </c>
      <c r="F166" s="130"/>
      <c r="H166" s="42"/>
    </row>
    <row r="167" spans="2:8" x14ac:dyDescent="0.2">
      <c r="B167" s="186"/>
      <c r="C167" s="7"/>
      <c r="D167" s="7"/>
      <c r="E167" s="7"/>
      <c r="F167" s="7"/>
      <c r="G167" s="7"/>
      <c r="H167" s="182"/>
    </row>
    <row r="171" spans="2:8" x14ac:dyDescent="0.2">
      <c r="B171" s="65" t="s">
        <v>146</v>
      </c>
      <c r="C171" s="189" t="s">
        <v>136</v>
      </c>
      <c r="D171" s="375" t="s">
        <v>401</v>
      </c>
    </row>
    <row r="172" spans="2:8" x14ac:dyDescent="0.2">
      <c r="B172" s="376" t="s">
        <v>178</v>
      </c>
      <c r="C172" s="184" t="str">
        <f>"ton CO2eq/" &amp; IF(Technology!$C$32="","FU",Technology!$C$32)</f>
        <v>ton CO2eq/ton H2</v>
      </c>
      <c r="D172" s="377"/>
    </row>
    <row r="173" spans="2:8" ht="13.8" x14ac:dyDescent="0.3">
      <c r="B173" s="183" t="s">
        <v>179</v>
      </c>
      <c r="C173" s="185" t="str">
        <f>"ton CO2eq avoided/" &amp; IF(Technology!$C$32="","FU",Technology!$C$32)</f>
        <v>ton CO2eq avoided/ton H2</v>
      </c>
      <c r="D173" s="378"/>
    </row>
    <row r="174" spans="2:8" x14ac:dyDescent="0.2">
      <c r="B174" s="376" t="s">
        <v>471</v>
      </c>
      <c r="C174" s="379" t="str">
        <f>'1. Pathway 1'!$C$175</f>
        <v>ton CO2eq/ton H2</v>
      </c>
      <c r="D174" s="377">
        <f>D172-D173</f>
        <v>0</v>
      </c>
    </row>
    <row r="175" spans="2:8" x14ac:dyDescent="0.2">
      <c r="B175" s="183"/>
      <c r="C175" s="185" t="str">
        <f>'1. Pathway 1'!$C$176</f>
        <v>ton CO2eq/yr</v>
      </c>
      <c r="D175" s="378"/>
    </row>
    <row r="176" spans="2:8" ht="13.8" x14ac:dyDescent="0.3">
      <c r="B176" s="76" t="s">
        <v>472</v>
      </c>
      <c r="C176" s="193" t="str">
        <f>'1. Pathway 1'!$C$177</f>
        <v>ton CO2eq/ton H2</v>
      </c>
      <c r="D176" s="256">
        <v>0</v>
      </c>
    </row>
    <row r="177" spans="1:4" x14ac:dyDescent="0.2">
      <c r="B177" s="183"/>
      <c r="C177" s="123" t="str">
        <f>'1. Pathway 1'!$C$178</f>
        <v>ton CO2eq/yr</v>
      </c>
      <c r="D177" s="257"/>
    </row>
    <row r="179" spans="1:4" x14ac:dyDescent="0.2">
      <c r="B179" s="117" t="s">
        <v>473</v>
      </c>
      <c r="C179" s="190" t="s">
        <v>136</v>
      </c>
      <c r="D179" s="380" t="s">
        <v>401</v>
      </c>
    </row>
    <row r="180" spans="1:4" x14ac:dyDescent="0.2">
      <c r="B180" s="116" t="s">
        <v>180</v>
      </c>
      <c r="C180" s="191" t="str">
        <f>'1. Pathway 1'!$C$181</f>
        <v>€/ton CO2eq avoided</v>
      </c>
      <c r="D180" s="381"/>
    </row>
    <row r="181" spans="1:4" ht="13.8" x14ac:dyDescent="0.3">
      <c r="B181" s="116" t="s">
        <v>626</v>
      </c>
      <c r="C181" s="191" t="str">
        <f>'1. Pathway 1'!$C$182</f>
        <v>MWh/ton CO2eq avoided</v>
      </c>
      <c r="D181" s="382"/>
    </row>
    <row r="183" spans="1:4" x14ac:dyDescent="0.2">
      <c r="B183" s="141"/>
    </row>
    <row r="184" spans="1:4" s="142" customFormat="1" x14ac:dyDescent="0.2">
      <c r="A184" s="1"/>
      <c r="B184" s="143" t="s">
        <v>476</v>
      </c>
      <c r="C184" s="144"/>
      <c r="D184" s="144"/>
    </row>
    <row r="195" spans="1:4" s="142" customFormat="1" x14ac:dyDescent="0.2">
      <c r="A195" s="1"/>
      <c r="B195" s="143" t="s">
        <v>487</v>
      </c>
      <c r="C195" s="144"/>
      <c r="D195" s="144"/>
    </row>
    <row r="205" spans="1:4" x14ac:dyDescent="0.2">
      <c r="B205" s="141"/>
    </row>
    <row r="207" spans="1:4" s="142" customFormat="1" x14ac:dyDescent="0.2">
      <c r="A207" s="1"/>
      <c r="B207" s="143" t="s">
        <v>488</v>
      </c>
      <c r="C207" s="144"/>
      <c r="D207" s="144"/>
    </row>
  </sheetData>
  <mergeCells count="1">
    <mergeCell ref="E78:AI78"/>
  </mergeCells>
  <dataValidations count="2">
    <dataValidation allowBlank="1" showInputMessage="1" showErrorMessage="1" prompt="The total manufacturing cost is the sum of the total OPEX for one year." sqref="B139" xr:uid="{C7E7DF5E-01B1-4AD7-9C11-F8D1167A5544}"/>
    <dataValidation allowBlank="1" showInputMessage="1" showErrorMessage="1" prompt="The levelized cost of product is calculated by dividing the sum of all the costs over the lifetime by the sum of the product produced over the lifetime. " sqref="B140" xr:uid="{F6885967-C346-4C8A-AA01-2D32176F791E}"/>
  </dataValidation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N58"/>
  <sheetViews>
    <sheetView workbookViewId="0">
      <selection activeCell="M37" sqref="M37"/>
    </sheetView>
  </sheetViews>
  <sheetFormatPr defaultRowHeight="14.4" x14ac:dyDescent="0.3"/>
  <cols>
    <col min="2" max="2" width="16.5546875" bestFit="1" customWidth="1"/>
    <col min="4" max="4" width="12.6640625" customWidth="1"/>
    <col min="5" max="5" width="12.5546875" customWidth="1"/>
    <col min="6" max="6" width="23.109375" customWidth="1"/>
    <col min="8" max="8" width="18.109375" customWidth="1"/>
    <col min="10" max="10" width="12" customWidth="1"/>
    <col min="11" max="11" width="13.33203125" bestFit="1" customWidth="1"/>
  </cols>
  <sheetData>
    <row r="1" spans="1:14" x14ac:dyDescent="0.3">
      <c r="A1" s="79"/>
    </row>
    <row r="2" spans="1:14" x14ac:dyDescent="0.3">
      <c r="A2" s="79" t="s">
        <v>493</v>
      </c>
    </row>
    <row r="3" spans="1:14" x14ac:dyDescent="0.3">
      <c r="N3" s="91"/>
    </row>
    <row r="4" spans="1:14" x14ac:dyDescent="0.3">
      <c r="N4" s="90"/>
    </row>
    <row r="5" spans="1:14" ht="15.6" x14ac:dyDescent="0.35">
      <c r="B5" t="s">
        <v>494</v>
      </c>
      <c r="C5" t="s">
        <v>495</v>
      </c>
      <c r="D5" t="s">
        <v>318</v>
      </c>
      <c r="E5" t="s">
        <v>496</v>
      </c>
      <c r="H5" t="s">
        <v>497</v>
      </c>
      <c r="I5" t="s">
        <v>498</v>
      </c>
      <c r="J5" t="s">
        <v>318</v>
      </c>
    </row>
    <row r="6" spans="1:14" x14ac:dyDescent="0.3">
      <c r="B6" t="s">
        <v>499</v>
      </c>
      <c r="C6">
        <v>3</v>
      </c>
      <c r="D6" s="262">
        <v>2000</v>
      </c>
      <c r="H6" t="s">
        <v>500</v>
      </c>
      <c r="I6">
        <v>1</v>
      </c>
      <c r="J6" s="260">
        <v>1600</v>
      </c>
    </row>
    <row r="7" spans="1:14" x14ac:dyDescent="0.3">
      <c r="B7" t="s">
        <v>501</v>
      </c>
      <c r="C7">
        <v>2</v>
      </c>
      <c r="D7" s="263">
        <v>750</v>
      </c>
      <c r="H7" t="s">
        <v>502</v>
      </c>
      <c r="I7">
        <v>3</v>
      </c>
      <c r="J7" s="261">
        <v>7200</v>
      </c>
    </row>
    <row r="8" spans="1:14" x14ac:dyDescent="0.3">
      <c r="B8" t="s">
        <v>503</v>
      </c>
      <c r="C8">
        <v>2</v>
      </c>
      <c r="D8" s="262">
        <v>900</v>
      </c>
      <c r="H8" t="s">
        <v>504</v>
      </c>
      <c r="I8">
        <v>3</v>
      </c>
      <c r="J8" s="260">
        <v>2000</v>
      </c>
    </row>
    <row r="9" spans="1:14" x14ac:dyDescent="0.3">
      <c r="B9" t="s">
        <v>505</v>
      </c>
      <c r="C9">
        <v>2</v>
      </c>
      <c r="D9" s="263">
        <v>3200</v>
      </c>
      <c r="H9" t="s">
        <v>506</v>
      </c>
      <c r="I9">
        <v>3</v>
      </c>
      <c r="J9" s="261">
        <v>150</v>
      </c>
    </row>
    <row r="10" spans="1:14" x14ac:dyDescent="0.3">
      <c r="B10" t="s">
        <v>507</v>
      </c>
      <c r="C10">
        <v>2</v>
      </c>
      <c r="D10" s="262">
        <v>800</v>
      </c>
      <c r="H10" t="s">
        <v>508</v>
      </c>
      <c r="I10">
        <v>3</v>
      </c>
      <c r="J10" s="260">
        <v>42</v>
      </c>
    </row>
    <row r="11" spans="1:14" x14ac:dyDescent="0.3">
      <c r="B11" t="s">
        <v>509</v>
      </c>
      <c r="C11">
        <v>1</v>
      </c>
      <c r="D11" s="263">
        <v>4200</v>
      </c>
      <c r="H11" t="s">
        <v>510</v>
      </c>
      <c r="I11">
        <v>3</v>
      </c>
      <c r="J11" s="261">
        <v>500000</v>
      </c>
    </row>
    <row r="12" spans="1:14" x14ac:dyDescent="0.3">
      <c r="B12" t="s">
        <v>511</v>
      </c>
      <c r="C12">
        <v>3</v>
      </c>
      <c r="D12" s="262">
        <v>750</v>
      </c>
      <c r="H12" t="s">
        <v>512</v>
      </c>
      <c r="I12">
        <v>3</v>
      </c>
      <c r="J12" s="260">
        <v>6</v>
      </c>
    </row>
    <row r="13" spans="1:14" x14ac:dyDescent="0.3">
      <c r="B13" t="s">
        <v>513</v>
      </c>
      <c r="C13">
        <v>2</v>
      </c>
      <c r="D13" s="263">
        <v>2800</v>
      </c>
      <c r="H13" t="s">
        <v>514</v>
      </c>
      <c r="I13">
        <v>3</v>
      </c>
      <c r="J13" s="261">
        <v>300</v>
      </c>
    </row>
    <row r="14" spans="1:14" x14ac:dyDescent="0.3">
      <c r="B14" t="s">
        <v>515</v>
      </c>
      <c r="C14">
        <v>2</v>
      </c>
      <c r="D14" s="262">
        <v>1000</v>
      </c>
      <c r="H14" t="s">
        <v>516</v>
      </c>
      <c r="I14">
        <v>1</v>
      </c>
      <c r="J14" s="260">
        <v>4500</v>
      </c>
    </row>
    <row r="15" spans="1:14" x14ac:dyDescent="0.3">
      <c r="B15" t="s">
        <v>517</v>
      </c>
      <c r="C15">
        <v>3</v>
      </c>
      <c r="D15" s="263">
        <v>800</v>
      </c>
      <c r="H15" t="s">
        <v>518</v>
      </c>
      <c r="I15">
        <v>1</v>
      </c>
      <c r="J15" s="261">
        <v>10000</v>
      </c>
    </row>
    <row r="16" spans="1:14" x14ac:dyDescent="0.3">
      <c r="B16" t="s">
        <v>519</v>
      </c>
      <c r="C16">
        <v>2</v>
      </c>
      <c r="D16" s="262">
        <v>950</v>
      </c>
      <c r="H16" t="s">
        <v>520</v>
      </c>
      <c r="I16">
        <v>3</v>
      </c>
      <c r="J16" s="260">
        <v>40000</v>
      </c>
    </row>
    <row r="17" spans="2:10" x14ac:dyDescent="0.3">
      <c r="B17" t="s">
        <v>521</v>
      </c>
      <c r="C17">
        <v>3</v>
      </c>
      <c r="D17" s="263">
        <v>950</v>
      </c>
      <c r="H17" t="s">
        <v>522</v>
      </c>
      <c r="I17">
        <v>3</v>
      </c>
      <c r="J17" s="261">
        <v>160</v>
      </c>
    </row>
    <row r="18" spans="2:10" x14ac:dyDescent="0.3">
      <c r="B18" t="s">
        <v>523</v>
      </c>
      <c r="C18">
        <v>3</v>
      </c>
      <c r="D18">
        <v>900</v>
      </c>
      <c r="H18" t="s">
        <v>524</v>
      </c>
      <c r="I18">
        <v>3</v>
      </c>
      <c r="J18" s="260">
        <v>8500</v>
      </c>
    </row>
    <row r="19" spans="2:10" x14ac:dyDescent="0.3">
      <c r="B19" t="s">
        <v>525</v>
      </c>
      <c r="C19">
        <v>1</v>
      </c>
      <c r="D19">
        <v>1200</v>
      </c>
      <c r="H19" t="s">
        <v>526</v>
      </c>
      <c r="I19">
        <v>3</v>
      </c>
      <c r="J19" s="261">
        <v>400</v>
      </c>
    </row>
    <row r="20" spans="2:10" x14ac:dyDescent="0.3">
      <c r="B20" t="s">
        <v>527</v>
      </c>
      <c r="C20">
        <v>3</v>
      </c>
      <c r="D20" s="263">
        <v>400</v>
      </c>
      <c r="H20" t="s">
        <v>528</v>
      </c>
      <c r="I20">
        <v>3</v>
      </c>
      <c r="J20" s="260">
        <v>250000</v>
      </c>
    </row>
    <row r="21" spans="2:10" x14ac:dyDescent="0.3">
      <c r="B21" t="s">
        <v>529</v>
      </c>
      <c r="C21">
        <v>3</v>
      </c>
      <c r="D21">
        <v>310</v>
      </c>
      <c r="H21" t="s">
        <v>530</v>
      </c>
      <c r="I21">
        <v>3</v>
      </c>
      <c r="J21" s="261">
        <v>1300000</v>
      </c>
    </row>
    <row r="22" spans="2:10" x14ac:dyDescent="0.3">
      <c r="B22" t="s">
        <v>531</v>
      </c>
      <c r="C22">
        <v>3</v>
      </c>
      <c r="D22" s="262">
        <v>2800</v>
      </c>
      <c r="H22" t="s">
        <v>532</v>
      </c>
      <c r="I22">
        <v>1</v>
      </c>
      <c r="J22" s="260">
        <v>60000000</v>
      </c>
    </row>
    <row r="23" spans="2:10" x14ac:dyDescent="0.3">
      <c r="B23" t="s">
        <v>533</v>
      </c>
      <c r="C23">
        <v>3</v>
      </c>
      <c r="D23" s="263">
        <v>3120</v>
      </c>
      <c r="H23" t="s">
        <v>534</v>
      </c>
      <c r="I23">
        <v>3</v>
      </c>
      <c r="J23" s="261">
        <v>1000000</v>
      </c>
    </row>
    <row r="24" spans="2:10" x14ac:dyDescent="0.3">
      <c r="B24" t="s">
        <v>535</v>
      </c>
      <c r="C24">
        <v>3</v>
      </c>
      <c r="H24" t="s">
        <v>536</v>
      </c>
      <c r="I24">
        <v>3</v>
      </c>
      <c r="J24" s="260"/>
    </row>
    <row r="25" spans="2:10" x14ac:dyDescent="0.3">
      <c r="B25" t="s">
        <v>537</v>
      </c>
      <c r="C25">
        <v>3</v>
      </c>
      <c r="D25">
        <v>500</v>
      </c>
      <c r="H25" t="s">
        <v>538</v>
      </c>
      <c r="I25">
        <v>3</v>
      </c>
      <c r="J25" s="261"/>
    </row>
    <row r="26" spans="2:10" x14ac:dyDescent="0.3">
      <c r="B26" t="s">
        <v>539</v>
      </c>
      <c r="C26">
        <v>3</v>
      </c>
      <c r="D26">
        <v>800</v>
      </c>
      <c r="H26" t="s">
        <v>540</v>
      </c>
      <c r="I26">
        <v>3</v>
      </c>
      <c r="J26" s="260">
        <v>210000</v>
      </c>
    </row>
    <row r="27" spans="2:10" x14ac:dyDescent="0.3">
      <c r="B27" t="s">
        <v>541</v>
      </c>
      <c r="C27">
        <v>2</v>
      </c>
      <c r="D27" s="263"/>
      <c r="H27" t="s">
        <v>542</v>
      </c>
      <c r="I27">
        <v>1</v>
      </c>
      <c r="J27" s="261">
        <v>2100</v>
      </c>
    </row>
    <row r="28" spans="2:10" x14ac:dyDescent="0.3">
      <c r="B28" t="s">
        <v>543</v>
      </c>
      <c r="C28">
        <v>2</v>
      </c>
      <c r="D28" s="262">
        <v>2700</v>
      </c>
      <c r="H28" t="s">
        <v>544</v>
      </c>
      <c r="I28">
        <v>3</v>
      </c>
      <c r="J28" s="260"/>
    </row>
    <row r="29" spans="2:10" x14ac:dyDescent="0.3">
      <c r="B29" t="s">
        <v>545</v>
      </c>
      <c r="D29">
        <v>1000</v>
      </c>
      <c r="H29" t="s">
        <v>546</v>
      </c>
      <c r="I29">
        <v>3</v>
      </c>
      <c r="J29" s="261">
        <v>40000</v>
      </c>
    </row>
    <row r="30" spans="2:10" x14ac:dyDescent="0.3">
      <c r="B30" t="s">
        <v>547</v>
      </c>
      <c r="C30">
        <v>2</v>
      </c>
      <c r="D30">
        <v>650</v>
      </c>
      <c r="H30" t="s">
        <v>548</v>
      </c>
      <c r="I30">
        <v>3</v>
      </c>
      <c r="J30" s="260">
        <v>2300</v>
      </c>
    </row>
    <row r="31" spans="2:10" x14ac:dyDescent="0.3">
      <c r="B31" t="s">
        <v>549</v>
      </c>
      <c r="C31">
        <v>1</v>
      </c>
      <c r="D31">
        <v>1000</v>
      </c>
      <c r="H31" t="s">
        <v>550</v>
      </c>
      <c r="I31">
        <v>3</v>
      </c>
      <c r="J31" s="261">
        <v>2100</v>
      </c>
    </row>
    <row r="32" spans="2:10" x14ac:dyDescent="0.3">
      <c r="B32" t="s">
        <v>551</v>
      </c>
      <c r="C32">
        <v>1</v>
      </c>
      <c r="D32">
        <v>600</v>
      </c>
      <c r="H32" t="s">
        <v>552</v>
      </c>
      <c r="I32">
        <v>3</v>
      </c>
      <c r="J32" s="260">
        <v>1100</v>
      </c>
    </row>
    <row r="33" spans="2:10" x14ac:dyDescent="0.3">
      <c r="B33" t="s">
        <v>553</v>
      </c>
      <c r="D33">
        <v>1300</v>
      </c>
      <c r="H33" t="s">
        <v>554</v>
      </c>
      <c r="I33">
        <v>3</v>
      </c>
      <c r="J33" s="261">
        <v>1500</v>
      </c>
    </row>
    <row r="34" spans="2:10" x14ac:dyDescent="0.3">
      <c r="B34" t="s">
        <v>555</v>
      </c>
      <c r="C34">
        <v>3</v>
      </c>
      <c r="D34">
        <v>550</v>
      </c>
      <c r="H34" t="s">
        <v>556</v>
      </c>
      <c r="I34">
        <v>3</v>
      </c>
      <c r="J34" s="260">
        <v>25000</v>
      </c>
    </row>
    <row r="35" spans="2:10" x14ac:dyDescent="0.3">
      <c r="B35" t="s">
        <v>557</v>
      </c>
      <c r="C35">
        <v>2</v>
      </c>
      <c r="D35">
        <v>1300</v>
      </c>
      <c r="H35" t="s">
        <v>558</v>
      </c>
      <c r="I35">
        <v>3</v>
      </c>
      <c r="J35" s="261">
        <v>30</v>
      </c>
    </row>
    <row r="36" spans="2:10" x14ac:dyDescent="0.3">
      <c r="B36" t="s">
        <v>559</v>
      </c>
      <c r="C36">
        <v>3</v>
      </c>
      <c r="D36">
        <v>800</v>
      </c>
      <c r="H36" t="s">
        <v>560</v>
      </c>
      <c r="I36">
        <v>3</v>
      </c>
      <c r="J36" s="260">
        <v>84</v>
      </c>
    </row>
    <row r="37" spans="2:10" x14ac:dyDescent="0.3">
      <c r="B37" t="s">
        <v>561</v>
      </c>
      <c r="C37">
        <v>1</v>
      </c>
      <c r="H37" t="s">
        <v>562</v>
      </c>
      <c r="I37">
        <v>3</v>
      </c>
      <c r="J37" s="261">
        <v>200</v>
      </c>
    </row>
    <row r="38" spans="2:10" x14ac:dyDescent="0.3">
      <c r="B38" t="s">
        <v>563</v>
      </c>
      <c r="C38">
        <v>1</v>
      </c>
      <c r="D38" s="262">
        <v>1650</v>
      </c>
      <c r="H38" t="s">
        <v>564</v>
      </c>
      <c r="I38">
        <v>3</v>
      </c>
      <c r="J38" s="260">
        <v>41600000</v>
      </c>
    </row>
    <row r="39" spans="2:10" x14ac:dyDescent="0.3">
      <c r="B39" t="s">
        <v>565</v>
      </c>
      <c r="C39">
        <v>2</v>
      </c>
      <c r="H39" t="s">
        <v>566</v>
      </c>
      <c r="I39">
        <v>1</v>
      </c>
      <c r="J39" s="261">
        <v>2300000</v>
      </c>
    </row>
    <row r="40" spans="2:10" x14ac:dyDescent="0.3">
      <c r="B40" t="s">
        <v>567</v>
      </c>
      <c r="C40">
        <v>2</v>
      </c>
      <c r="D40">
        <v>1200</v>
      </c>
      <c r="H40" t="s">
        <v>568</v>
      </c>
      <c r="I40">
        <v>3</v>
      </c>
      <c r="J40" s="260">
        <v>1000</v>
      </c>
    </row>
    <row r="41" spans="2:10" x14ac:dyDescent="0.3">
      <c r="B41" t="s">
        <v>569</v>
      </c>
      <c r="C41">
        <v>2</v>
      </c>
      <c r="H41" t="s">
        <v>570</v>
      </c>
      <c r="I41">
        <v>1</v>
      </c>
      <c r="J41" s="261">
        <v>80000</v>
      </c>
    </row>
    <row r="42" spans="2:10" x14ac:dyDescent="0.3">
      <c r="B42" t="s">
        <v>571</v>
      </c>
      <c r="C42">
        <v>2</v>
      </c>
      <c r="D42">
        <v>500</v>
      </c>
      <c r="H42" t="s">
        <v>572</v>
      </c>
      <c r="I42">
        <v>3</v>
      </c>
      <c r="J42" s="260">
        <v>2500</v>
      </c>
    </row>
    <row r="43" spans="2:10" x14ac:dyDescent="0.3">
      <c r="B43" t="s">
        <v>573</v>
      </c>
      <c r="C43">
        <v>2</v>
      </c>
      <c r="H43" t="s">
        <v>574</v>
      </c>
      <c r="I43">
        <v>1</v>
      </c>
      <c r="J43" s="261">
        <v>700000</v>
      </c>
    </row>
    <row r="44" spans="2:10" x14ac:dyDescent="0.3">
      <c r="B44" t="s">
        <v>575</v>
      </c>
      <c r="C44">
        <v>3</v>
      </c>
      <c r="H44" t="s">
        <v>576</v>
      </c>
      <c r="I44">
        <v>3</v>
      </c>
      <c r="J44" s="260">
        <v>400</v>
      </c>
    </row>
    <row r="45" spans="2:10" x14ac:dyDescent="0.3">
      <c r="B45" t="s">
        <v>577</v>
      </c>
      <c r="C45">
        <v>2</v>
      </c>
      <c r="D45">
        <v>1400</v>
      </c>
      <c r="H45" t="s">
        <v>578</v>
      </c>
      <c r="I45">
        <v>3</v>
      </c>
      <c r="J45" s="261">
        <v>270000</v>
      </c>
    </row>
    <row r="46" spans="2:10" x14ac:dyDescent="0.3">
      <c r="B46" t="s">
        <v>579</v>
      </c>
      <c r="C46">
        <v>3</v>
      </c>
      <c r="D46">
        <v>600</v>
      </c>
      <c r="H46" t="s">
        <v>580</v>
      </c>
      <c r="I46">
        <v>1</v>
      </c>
      <c r="J46" s="260">
        <v>30000</v>
      </c>
    </row>
    <row r="47" spans="2:10" x14ac:dyDescent="0.3">
      <c r="B47" t="s">
        <v>581</v>
      </c>
      <c r="C47">
        <v>1</v>
      </c>
      <c r="D47" s="263">
        <v>1610</v>
      </c>
      <c r="H47" t="s">
        <v>582</v>
      </c>
      <c r="I47">
        <v>3</v>
      </c>
      <c r="J47" s="261">
        <v>4000</v>
      </c>
    </row>
    <row r="48" spans="2:10" x14ac:dyDescent="0.3">
      <c r="B48" t="s">
        <v>583</v>
      </c>
      <c r="C48">
        <v>3</v>
      </c>
      <c r="D48" s="262"/>
      <c r="H48" t="s">
        <v>584</v>
      </c>
      <c r="I48">
        <v>3</v>
      </c>
      <c r="J48" s="260">
        <v>30000</v>
      </c>
    </row>
    <row r="49" spans="2:10" x14ac:dyDescent="0.3">
      <c r="B49" t="s">
        <v>585</v>
      </c>
      <c r="C49">
        <v>3</v>
      </c>
      <c r="D49" s="263">
        <v>1860</v>
      </c>
      <c r="H49" t="s">
        <v>586</v>
      </c>
      <c r="I49">
        <v>3</v>
      </c>
      <c r="J49" s="261">
        <v>40000</v>
      </c>
    </row>
    <row r="50" spans="2:10" x14ac:dyDescent="0.3">
      <c r="B50" t="s">
        <v>587</v>
      </c>
      <c r="C50">
        <v>3</v>
      </c>
      <c r="D50" s="262">
        <v>751</v>
      </c>
      <c r="H50" t="s">
        <v>588</v>
      </c>
      <c r="I50">
        <v>1</v>
      </c>
      <c r="J50" s="260">
        <v>3000</v>
      </c>
    </row>
    <row r="51" spans="2:10" x14ac:dyDescent="0.3">
      <c r="B51" t="s">
        <v>589</v>
      </c>
      <c r="C51">
        <v>3</v>
      </c>
      <c r="D51" s="263">
        <v>4400</v>
      </c>
      <c r="H51" t="s">
        <v>590</v>
      </c>
      <c r="I51">
        <v>1</v>
      </c>
      <c r="J51" s="261">
        <v>4100</v>
      </c>
    </row>
    <row r="52" spans="2:10" x14ac:dyDescent="0.3">
      <c r="B52" t="s">
        <v>591</v>
      </c>
      <c r="C52">
        <v>1</v>
      </c>
      <c r="D52" s="262">
        <v>3500</v>
      </c>
      <c r="H52" t="s">
        <v>321</v>
      </c>
    </row>
    <row r="53" spans="2:10" x14ac:dyDescent="0.3">
      <c r="B53" t="s">
        <v>592</v>
      </c>
      <c r="C53">
        <v>3</v>
      </c>
      <c r="D53" s="263">
        <v>3200</v>
      </c>
    </row>
    <row r="54" spans="2:10" x14ac:dyDescent="0.3">
      <c r="B54" t="s">
        <v>593</v>
      </c>
      <c r="C54">
        <v>3</v>
      </c>
      <c r="D54" s="262">
        <v>2400</v>
      </c>
    </row>
    <row r="55" spans="2:10" x14ac:dyDescent="0.3">
      <c r="B55" t="s">
        <v>594</v>
      </c>
      <c r="C55">
        <v>2</v>
      </c>
      <c r="D55">
        <v>700</v>
      </c>
    </row>
    <row r="56" spans="2:10" x14ac:dyDescent="0.3">
      <c r="B56" t="s">
        <v>149</v>
      </c>
      <c r="C56">
        <v>1</v>
      </c>
      <c r="D56">
        <v>1</v>
      </c>
      <c r="E56">
        <v>1.7699999999999999E-4</v>
      </c>
    </row>
    <row r="57" spans="2:10" x14ac:dyDescent="0.3">
      <c r="B57" t="s">
        <v>595</v>
      </c>
      <c r="C57">
        <v>2</v>
      </c>
      <c r="D57">
        <v>700</v>
      </c>
    </row>
    <row r="58" spans="2:10" x14ac:dyDescent="0.3">
      <c r="B58" t="s">
        <v>321</v>
      </c>
    </row>
  </sheetData>
  <pageMargins left="0.7" right="0.7" top="0.75" bottom="0.75" header="0.3" footer="0.3"/>
  <pageSetup paperSize="9" orientation="portrait" r:id="rId1"/>
  <drawing r:id="rId2"/>
  <legacyDrawing r:id="rId3"/>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9A96C12F825C4DAB94D1D23875A452" ma:contentTypeVersion="9" ma:contentTypeDescription="Create a new document." ma:contentTypeScope="" ma:versionID="1c7f91b26b25ed5fd3fd66447fc14e6c">
  <xsd:schema xmlns:xsd="http://www.w3.org/2001/XMLSchema" xmlns:xs="http://www.w3.org/2001/XMLSchema" xmlns:p="http://schemas.microsoft.com/office/2006/metadata/properties" xmlns:ns2="7899f4a0-e761-43a0-b87e-b5fb0856ed1e" targetNamespace="http://schemas.microsoft.com/office/2006/metadata/properties" ma:root="true" ma:fieldsID="3466ad9429bd2acf5c9fab4dcefe0d38" ns2:_="">
    <xsd:import namespace="7899f4a0-e761-43a0-b87e-b5fb0856ed1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LengthInSecond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99f4a0-e761-43a0-b87e-b5fb0856ed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EE4FD8-9FA9-4F3C-AFCA-5CB8E2E4ED92}">
  <ds:schemaRefs>
    <ds:schemaRef ds:uri="http://schemas.microsoft.com/sharepoint/v3/contenttype/forms"/>
  </ds:schemaRefs>
</ds:datastoreItem>
</file>

<file path=customXml/itemProps2.xml><?xml version="1.0" encoding="utf-8"?>
<ds:datastoreItem xmlns:ds="http://schemas.openxmlformats.org/officeDocument/2006/customXml" ds:itemID="{FFD03F2A-CA96-499F-93CE-34BA351F5624}">
  <ds:schemaRef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7899f4a0-e761-43a0-b87e-b5fb0856ed1e"/>
    <ds:schemaRef ds:uri="http://purl.org/dc/elements/1.1/"/>
    <ds:schemaRef ds:uri="http://purl.org/dc/dcmitype/"/>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D7A1C08C-EDF2-4CAA-81B1-06F5E7172A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Intro</vt:lpstr>
      <vt:lpstr>Dashboard results</vt:lpstr>
      <vt:lpstr>Project</vt:lpstr>
      <vt:lpstr>Technology</vt:lpstr>
      <vt:lpstr>Market </vt:lpstr>
      <vt:lpstr>Pathway definition and results</vt:lpstr>
      <vt:lpstr>Data - technical</vt:lpstr>
      <vt:lpstr>Data - economic</vt:lpstr>
      <vt:lpstr>Data - environmental</vt:lpstr>
      <vt:lpstr>Data - general</vt:lpstr>
      <vt:lpstr>1. Pathway 1</vt:lpstr>
      <vt:lpstr>2. Pathway 2</vt:lpstr>
      <vt:lpstr>3. Pathway 3</vt:lpstr>
      <vt:lpstr>4. Pathway 4</vt:lpstr>
      <vt:lpstr>Dropdown list</vt:lpstr>
      <vt:lpstr>Critical_elements</vt:lpstr>
      <vt:lpstr>e_debt_ratio</vt:lpstr>
      <vt:lpstr>e_discountrate_nominal</vt:lpstr>
      <vt:lpstr>e_discountrate_real</vt:lpstr>
      <vt:lpstr>e_ecolifetime_yr</vt:lpstr>
      <vt:lpstr>e_equity_ratio</vt:lpstr>
      <vt:lpstr>e_inflationrate</vt:lpstr>
      <vt:lpstr>e_interestrate</vt:lpstr>
      <vt:lpstr>e_taxrate_BE</vt:lpstr>
      <vt:lpstr>e_WACC</vt:lpstr>
      <vt:lpstr>'2. Pathway 2'!sc1_economic</vt:lpstr>
      <vt:lpstr>'3. Pathway 3'!sc1_economic</vt:lpstr>
      <vt:lpstr>'4. Pathway 4'!sc1_economic</vt:lpstr>
      <vt:lpstr>sc1_economic</vt:lpstr>
      <vt:lpstr>'2. Pathway 2'!sc1_environmental</vt:lpstr>
      <vt:lpstr>'3. Pathway 3'!sc1_environmental</vt:lpstr>
      <vt:lpstr>'4. Pathway 4'!sc1_environmental</vt:lpstr>
      <vt:lpstr>sc1_environmental</vt:lpstr>
      <vt:lpstr>'2. Pathway 2'!sc1_sensitivity</vt:lpstr>
      <vt:lpstr>'3. Pathway 3'!sc1_sensitivity</vt:lpstr>
      <vt:lpstr>'4. Pathway 4'!sc1_sensitivity</vt:lpstr>
      <vt:lpstr>sc1_sensitivity</vt:lpstr>
      <vt:lpstr>'2. Pathway 2'!sc1_technical</vt:lpstr>
      <vt:lpstr>'3. Pathway 3'!sc1_technical</vt:lpstr>
      <vt:lpstr>'4. Pathway 4'!sc1_technical</vt:lpstr>
      <vt:lpstr>sc1_technical</vt:lpstr>
      <vt:lpstr>Solvents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Dael Miet</dc:creator>
  <cp:keywords/>
  <dc:description/>
  <cp:lastModifiedBy>Miet Van Dael</cp:lastModifiedBy>
  <cp:revision/>
  <dcterms:created xsi:type="dcterms:W3CDTF">2022-02-02T12:53:03Z</dcterms:created>
  <dcterms:modified xsi:type="dcterms:W3CDTF">2023-09-01T11:54:27Z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0x010100A39A96C12F825C4DAB94D1D23875A452</vt:lpwstr>
  </property>
  <property fmtid="{D5CDD505-2E9C-101B-9397-08002B2CF9AE}" pid="3" name="MSIP_Label_ea60d57e-af5b-4752-ac57-3e4f28ca11dc_Enabled">
    <vt:lpwstr>true</vt:lpwstr>
  </property>
  <property fmtid="{D5CDD505-2E9C-101B-9397-08002B2CF9AE}" pid="4" name="MSIP_Label_ea60d57e-af5b-4752-ac57-3e4f28ca11dc_SetDate">
    <vt:lpwstr>2023-04-18T13:24:17Z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7638f720-2cc7-4534-9d40-6c32b7cce7ca</vt:lpwstr>
  </property>
  <property fmtid="{D5CDD505-2E9C-101B-9397-08002B2CF9AE}" pid="9" name="MSIP_Label_ea60d57e-af5b-4752-ac57-3e4f28ca11dc_ContentBits">
    <vt:lpwstr>0</vt:lpwstr>
  </property>
</Properties>
</file>