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codeName="{B6124F1A-AFFB-F854-7757-9A1D4C6FC43C}"/>
  <workbookPr codeName="ThisWorkbook" defaultThemeVersion="166925"/>
  <mc:AlternateContent xmlns:mc="http://schemas.openxmlformats.org/markup-compatibility/2006">
    <mc:Choice Requires="x15">
      <x15ac:absPath xmlns:x15ac="http://schemas.microsoft.com/office/spreadsheetml/2010/11/ac" url="https://vitoresearch.sharepoint.com/sites/vlaio-tender-tea-lca/Shared Documents/General/4 Working documents/Phase 2. Template/"/>
    </mc:Choice>
  </mc:AlternateContent>
  <xr:revisionPtr revIDLastSave="45" documentId="8_{B05CF779-3383-458C-8FAF-25916010290F}" xr6:coauthVersionLast="47" xr6:coauthVersionMax="47" xr10:uidLastSave="{D3CF68EE-568F-414B-847A-66114AD69C68}"/>
  <bookViews>
    <workbookView xWindow="28680" yWindow="-120" windowWidth="29040" windowHeight="15840" tabRatio="856" xr2:uid="{EB53964A-4451-4AA0-9EC6-321893E560D8}"/>
  </bookViews>
  <sheets>
    <sheet name="Intro" sheetId="1" r:id="rId1"/>
    <sheet name="Dashboard results" sheetId="22" r:id="rId2"/>
    <sheet name="Project" sheetId="3" r:id="rId3"/>
    <sheet name="Technology" sheetId="6" r:id="rId4"/>
    <sheet name="Market " sheetId="12" r:id="rId5"/>
    <sheet name="Pathway definition and results" sheetId="11" r:id="rId6"/>
    <sheet name="Data - technical" sheetId="2" r:id="rId7"/>
    <sheet name="Data - economic" sheetId="8" r:id="rId8"/>
    <sheet name="Data - environmental" sheetId="9" r:id="rId9"/>
    <sheet name="Data - general" sheetId="10" r:id="rId10"/>
    <sheet name="1. Pathway 1" sheetId="7" r:id="rId11"/>
    <sheet name="2. Pathway 2" sheetId="19" state="hidden" r:id="rId12"/>
    <sheet name="3. Pathway 3" sheetId="20" state="hidden" r:id="rId13"/>
    <sheet name="4. Pathway 4" sheetId="21" state="hidden" r:id="rId14"/>
    <sheet name="Dropdown list" sheetId="16" state="hidden" r:id="rId15"/>
  </sheets>
  <externalReferences>
    <externalReference r:id="rId16"/>
  </externalReferences>
  <definedNames>
    <definedName name="Critical_elements" localSheetId="11">Table_elements[Critical Raw Materials included in catalysts]</definedName>
    <definedName name="Critical_elements" localSheetId="12">Table_elements[Critical Raw Materials included in catalysts]</definedName>
    <definedName name="Critical_elements" localSheetId="13">Table_elements[Critical Raw Materials included in catalysts]</definedName>
    <definedName name="Critical_elements" localSheetId="1">[1]!Table_elements[Critical Raw Materials included in catalysts]</definedName>
    <definedName name="Critical_elements">Table_elements[Critical Raw Materials included in catalysts]</definedName>
    <definedName name="e_debt_ratio" localSheetId="1">'[1]Data - economic'!$F$13</definedName>
    <definedName name="e_debt_ratio">'Data - economic'!$F$13</definedName>
    <definedName name="e_discountrate_nominal">'Data - economic'!$F$10</definedName>
    <definedName name="e_discountrate_real">'Data - economic'!$F$11</definedName>
    <definedName name="e_ecolifetime_yr" localSheetId="1">'[1]Data - economic'!$F$18</definedName>
    <definedName name="e_ecolifetime_yr">'Data - economic'!$F$18</definedName>
    <definedName name="e_equity_ratio">'Data - economic'!$F$12</definedName>
    <definedName name="e_inflationrate">'Data - economic'!$F$15</definedName>
    <definedName name="e_interestrate" localSheetId="1">'[1]Data - economic'!$F$14</definedName>
    <definedName name="e_interestrate">'Data - economic'!$F$14</definedName>
    <definedName name="e_taxrate_BE" localSheetId="1">'[1]Data - economic'!$F$17</definedName>
    <definedName name="e_taxrate_BE">'Data - economic'!$F$17</definedName>
    <definedName name="e_WACC" localSheetId="1">'[1]Data - economic'!$F$16</definedName>
    <definedName name="e_WACC">'Data - economic'!$F$16</definedName>
    <definedName name="sc1_economic" localSheetId="11">'2. Pathway 2'!$B$78</definedName>
    <definedName name="sc1_economic" localSheetId="12">'3. Pathway 3'!$B$78</definedName>
    <definedName name="sc1_economic" localSheetId="13">'4. Pathway 4'!$B$78</definedName>
    <definedName name="sc1_economic">'1. Pathway 1'!$B$78</definedName>
    <definedName name="sc1_environmental" localSheetId="11">'2. Pathway 2'!$B$145</definedName>
    <definedName name="sc1_environmental" localSheetId="12">'3. Pathway 3'!$B$145</definedName>
    <definedName name="sc1_environmental" localSheetId="13">'4. Pathway 4'!$B$145</definedName>
    <definedName name="sc1_environmental">'1. Pathway 1'!$B$145</definedName>
    <definedName name="sc1_sensitivity" localSheetId="11">'2. Pathway 2'!$B$184</definedName>
    <definedName name="sc1_sensitivity" localSheetId="12">'3. Pathway 3'!$B$184</definedName>
    <definedName name="sc1_sensitivity" localSheetId="13">'4. Pathway 4'!$B$184</definedName>
    <definedName name="sc1_sensitivity">'1. Pathway 1'!$B$184</definedName>
    <definedName name="sc1_technical" localSheetId="11">'2. Pathway 2'!$B$30</definedName>
    <definedName name="sc1_technical" localSheetId="12">'3. Pathway 3'!$B$30</definedName>
    <definedName name="sc1_technical" localSheetId="13">'4. Pathway 4'!$B$30</definedName>
    <definedName name="sc1_technical">'1. Pathway 1'!$B$30</definedName>
    <definedName name="Solvents" localSheetId="11">Table_solvent[Solvents]</definedName>
    <definedName name="Solvents" localSheetId="12">Table_solvent[Solvents]</definedName>
    <definedName name="Solvents" localSheetId="13">Table_solvent[Solvents]</definedName>
    <definedName name="Solvents" localSheetId="1">[1]!Table_solvent[Solvents]</definedName>
    <definedName name="Solvents">Table_solvent[Solvents]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9" l="1"/>
  <c r="D140" i="7"/>
  <c r="F88" i="22"/>
  <c r="L8" i="9"/>
  <c r="K8" i="9"/>
  <c r="J8" i="9"/>
  <c r="I8" i="9"/>
  <c r="L8" i="2"/>
  <c r="K8" i="2"/>
  <c r="J8" i="2"/>
  <c r="I8" i="2"/>
  <c r="D73" i="22"/>
  <c r="D72" i="22"/>
  <c r="D71" i="22"/>
  <c r="D74" i="22"/>
  <c r="F40" i="11"/>
  <c r="F90" i="7"/>
  <c r="E148" i="7"/>
  <c r="C172" i="7"/>
  <c r="H33" i="7"/>
  <c r="C181" i="21"/>
  <c r="C180" i="21"/>
  <c r="C181" i="20"/>
  <c r="C180" i="20"/>
  <c r="C177" i="21"/>
  <c r="C175" i="21"/>
  <c r="C177" i="20"/>
  <c r="C175" i="20"/>
  <c r="C181" i="19"/>
  <c r="C180" i="19"/>
  <c r="C177" i="19"/>
  <c r="C175" i="19"/>
  <c r="C142" i="21"/>
  <c r="C141" i="21"/>
  <c r="C140" i="21"/>
  <c r="C142" i="20"/>
  <c r="C141" i="20"/>
  <c r="C140" i="20"/>
  <c r="C142" i="19"/>
  <c r="C141" i="19"/>
  <c r="C140" i="19"/>
  <c r="K128" i="22"/>
  <c r="K127" i="22"/>
  <c r="K100" i="22"/>
  <c r="K101" i="22"/>
  <c r="K102" i="22"/>
  <c r="K99" i="22"/>
  <c r="K74" i="22"/>
  <c r="K64" i="22"/>
  <c r="K65" i="22"/>
  <c r="K66" i="22"/>
  <c r="K67" i="22"/>
  <c r="K68" i="22"/>
  <c r="K69" i="22"/>
  <c r="K70" i="22"/>
  <c r="K71" i="22"/>
  <c r="K72" i="22"/>
  <c r="K73" i="22"/>
  <c r="K63" i="22"/>
  <c r="J74" i="22"/>
  <c r="J71" i="22"/>
  <c r="J72" i="22"/>
  <c r="J73" i="22"/>
  <c r="I74" i="22"/>
  <c r="H74" i="22"/>
  <c r="K126" i="22"/>
  <c r="J126" i="22"/>
  <c r="I126" i="22"/>
  <c r="H126" i="22"/>
  <c r="K33" i="22"/>
  <c r="K34" i="22"/>
  <c r="K35" i="22"/>
  <c r="K36" i="22"/>
  <c r="K37" i="22"/>
  <c r="K32" i="22"/>
  <c r="J33" i="22"/>
  <c r="J35" i="22"/>
  <c r="J36" i="22"/>
  <c r="J37" i="22"/>
  <c r="J32" i="22"/>
  <c r="K98" i="22"/>
  <c r="J98" i="22"/>
  <c r="I98" i="22"/>
  <c r="H98" i="22"/>
  <c r="K62" i="22"/>
  <c r="J62" i="22"/>
  <c r="I62" i="22"/>
  <c r="H62" i="22"/>
  <c r="K31" i="22"/>
  <c r="J31" i="22"/>
  <c r="I31" i="22"/>
  <c r="H31" i="22"/>
  <c r="D6" i="22"/>
  <c r="K17" i="22"/>
  <c r="K12" i="22"/>
  <c r="K10" i="22"/>
  <c r="K8" i="22"/>
  <c r="K6" i="22"/>
  <c r="J17" i="22"/>
  <c r="J12" i="22"/>
  <c r="J10" i="22"/>
  <c r="J8" i="22"/>
  <c r="J6" i="22"/>
  <c r="F18" i="22"/>
  <c r="F16" i="22"/>
  <c r="F14" i="22"/>
  <c r="F12" i="22"/>
  <c r="F10" i="22"/>
  <c r="F8" i="22"/>
  <c r="F6" i="22"/>
  <c r="D18" i="22"/>
  <c r="D16" i="22"/>
  <c r="D14" i="22"/>
  <c r="D12" i="22"/>
  <c r="D10" i="22"/>
  <c r="D8" i="22"/>
  <c r="F126" i="22"/>
  <c r="F98" i="22"/>
  <c r="F62" i="22"/>
  <c r="F31" i="22"/>
  <c r="L8" i="8"/>
  <c r="K8" i="8"/>
  <c r="J8" i="8"/>
  <c r="I8" i="8"/>
  <c r="H64" i="21"/>
  <c r="H63" i="21"/>
  <c r="H62" i="21"/>
  <c r="H61" i="21"/>
  <c r="H58" i="21"/>
  <c r="H56" i="21"/>
  <c r="H55" i="21"/>
  <c r="H54" i="21"/>
  <c r="H53" i="21"/>
  <c r="H51" i="21"/>
  <c r="H50" i="21"/>
  <c r="H47" i="21"/>
  <c r="H46" i="21"/>
  <c r="H45" i="21"/>
  <c r="H44" i="21"/>
  <c r="H41" i="21"/>
  <c r="H39" i="21"/>
  <c r="H38" i="21"/>
  <c r="H37" i="21"/>
  <c r="H36" i="21"/>
  <c r="H34" i="21"/>
  <c r="H33" i="21"/>
  <c r="H31" i="21"/>
  <c r="H64" i="20"/>
  <c r="H63" i="20"/>
  <c r="H62" i="20"/>
  <c r="H61" i="20"/>
  <c r="H58" i="20"/>
  <c r="H56" i="20"/>
  <c r="H55" i="20"/>
  <c r="H54" i="20"/>
  <c r="H53" i="20"/>
  <c r="H51" i="20"/>
  <c r="H50" i="20"/>
  <c r="H47" i="20"/>
  <c r="H46" i="20"/>
  <c r="H45" i="20"/>
  <c r="H44" i="20"/>
  <c r="H41" i="20"/>
  <c r="H39" i="20"/>
  <c r="H38" i="20"/>
  <c r="H37" i="20"/>
  <c r="H36" i="20"/>
  <c r="H34" i="20"/>
  <c r="H33" i="20"/>
  <c r="H31" i="20"/>
  <c r="H64" i="19"/>
  <c r="H63" i="19"/>
  <c r="H62" i="19"/>
  <c r="H61" i="19"/>
  <c r="H58" i="19"/>
  <c r="H56" i="19"/>
  <c r="H55" i="19"/>
  <c r="H54" i="19"/>
  <c r="H53" i="19"/>
  <c r="H51" i="19"/>
  <c r="H50" i="19"/>
  <c r="H47" i="19"/>
  <c r="H46" i="19"/>
  <c r="H45" i="19"/>
  <c r="H44" i="19"/>
  <c r="H41" i="19"/>
  <c r="H39" i="19"/>
  <c r="H38" i="19"/>
  <c r="H37" i="19"/>
  <c r="H36" i="19"/>
  <c r="H34" i="19"/>
  <c r="H33" i="19"/>
  <c r="H31" i="19"/>
  <c r="H58" i="7"/>
  <c r="H41" i="7"/>
  <c r="H36" i="7"/>
  <c r="H56" i="7"/>
  <c r="H55" i="7"/>
  <c r="H54" i="7"/>
  <c r="H53" i="7"/>
  <c r="H37" i="7"/>
  <c r="H38" i="7"/>
  <c r="H39" i="7"/>
  <c r="H62" i="7"/>
  <c r="H63" i="7"/>
  <c r="H64" i="7"/>
  <c r="H61" i="7"/>
  <c r="H51" i="7"/>
  <c r="H50" i="7"/>
  <c r="H45" i="7"/>
  <c r="H46" i="7"/>
  <c r="H47" i="7"/>
  <c r="H44" i="7"/>
  <c r="H34" i="7"/>
  <c r="H31" i="7"/>
  <c r="E166" i="21"/>
  <c r="E165" i="21"/>
  <c r="E164" i="21"/>
  <c r="E163" i="21"/>
  <c r="E166" i="20"/>
  <c r="E165" i="20"/>
  <c r="E164" i="20"/>
  <c r="E163" i="20"/>
  <c r="E166" i="19"/>
  <c r="E165" i="19"/>
  <c r="E164" i="19"/>
  <c r="E163" i="19"/>
  <c r="E160" i="21"/>
  <c r="E159" i="21"/>
  <c r="E158" i="21"/>
  <c r="E157" i="21"/>
  <c r="E156" i="21"/>
  <c r="E155" i="21"/>
  <c r="E160" i="20"/>
  <c r="E159" i="20"/>
  <c r="E158" i="20"/>
  <c r="E157" i="20"/>
  <c r="E156" i="20"/>
  <c r="E155" i="20"/>
  <c r="E160" i="19"/>
  <c r="E159" i="19"/>
  <c r="E158" i="19"/>
  <c r="E157" i="19"/>
  <c r="E156" i="19"/>
  <c r="E155" i="19"/>
  <c r="E153" i="21"/>
  <c r="E152" i="21"/>
  <c r="E151" i="21"/>
  <c r="E150" i="21"/>
  <c r="E149" i="21"/>
  <c r="E148" i="21"/>
  <c r="E153" i="20"/>
  <c r="E152" i="20"/>
  <c r="E151" i="20"/>
  <c r="E150" i="20"/>
  <c r="E149" i="20"/>
  <c r="E148" i="20"/>
  <c r="E153" i="19"/>
  <c r="E152" i="19"/>
  <c r="E151" i="19"/>
  <c r="E150" i="19"/>
  <c r="E149" i="19"/>
  <c r="E148" i="19"/>
  <c r="E164" i="7"/>
  <c r="E165" i="7"/>
  <c r="E166" i="7"/>
  <c r="E163" i="7"/>
  <c r="E156" i="7"/>
  <c r="E157" i="7"/>
  <c r="E158" i="7"/>
  <c r="E159" i="7"/>
  <c r="E160" i="7"/>
  <c r="E155" i="7"/>
  <c r="E149" i="7"/>
  <c r="E150" i="7"/>
  <c r="E151" i="7"/>
  <c r="E152" i="7"/>
  <c r="E153" i="7"/>
  <c r="C173" i="21"/>
  <c r="C172" i="21"/>
  <c r="C173" i="20"/>
  <c r="C172" i="20"/>
  <c r="C173" i="19"/>
  <c r="C172" i="19"/>
  <c r="C176" i="7"/>
  <c r="C174" i="7"/>
  <c r="C173" i="7"/>
  <c r="D174" i="7"/>
  <c r="D176" i="7"/>
  <c r="D180" i="7"/>
  <c r="D55" i="11"/>
  <c r="H62" i="11"/>
  <c r="H61" i="11"/>
  <c r="G62" i="11"/>
  <c r="J128" i="22"/>
  <c r="G61" i="11"/>
  <c r="J127" i="22"/>
  <c r="F62" i="11"/>
  <c r="I128" i="22"/>
  <c r="F61" i="11"/>
  <c r="I127" i="22"/>
  <c r="H58" i="11"/>
  <c r="H59" i="11"/>
  <c r="H60" i="11"/>
  <c r="H57" i="11"/>
  <c r="G58" i="11"/>
  <c r="J100" i="22"/>
  <c r="G60" i="11"/>
  <c r="J102" i="22"/>
  <c r="F58" i="11"/>
  <c r="I100" i="22"/>
  <c r="F60" i="11"/>
  <c r="I102" i="22"/>
  <c r="H56" i="11"/>
  <c r="G56" i="11"/>
  <c r="F56" i="11"/>
  <c r="I73" i="22"/>
  <c r="H55" i="11"/>
  <c r="G55" i="11"/>
  <c r="F55" i="11"/>
  <c r="I72" i="22"/>
  <c r="H54" i="11"/>
  <c r="G54" i="11"/>
  <c r="F54" i="11"/>
  <c r="I71" i="22"/>
  <c r="H48" i="11"/>
  <c r="H46" i="11"/>
  <c r="D45" i="9"/>
  <c r="D60" i="11"/>
  <c r="E60" i="11"/>
  <c r="H102" i="22"/>
  <c r="D86" i="22"/>
  <c r="D101" i="22"/>
  <c r="D99" i="22"/>
  <c r="D59" i="11"/>
  <c r="C176" i="21"/>
  <c r="C176" i="19"/>
  <c r="C176" i="20"/>
  <c r="D57" i="11"/>
  <c r="C174" i="19"/>
  <c r="C174" i="21"/>
  <c r="C174" i="20"/>
  <c r="F102" i="22" a="1"/>
  <c r="F102" i="22"/>
  <c r="F74" i="22" a="1"/>
  <c r="F74" i="22"/>
  <c r="F86" i="22"/>
  <c r="H41" i="11"/>
  <c r="H42" i="11"/>
  <c r="H43" i="11"/>
  <c r="H44" i="11"/>
  <c r="H45" i="11"/>
  <c r="H40" i="11"/>
  <c r="G41" i="11"/>
  <c r="G42" i="11"/>
  <c r="J34" i="22"/>
  <c r="G43" i="11"/>
  <c r="G44" i="11"/>
  <c r="G45" i="11"/>
  <c r="G40" i="11"/>
  <c r="F41" i="11"/>
  <c r="I33" i="22"/>
  <c r="F42" i="11"/>
  <c r="I34" i="22"/>
  <c r="F43" i="11"/>
  <c r="I35" i="22"/>
  <c r="F44" i="11"/>
  <c r="I36" i="22"/>
  <c r="F45" i="11"/>
  <c r="I37" i="22"/>
  <c r="I32" i="22"/>
  <c r="E40" i="11"/>
  <c r="H32" i="22"/>
  <c r="F32" i="22" a="1"/>
  <c r="F32" i="22"/>
  <c r="E41" i="11"/>
  <c r="H33" i="22"/>
  <c r="E42" i="11"/>
  <c r="H34" i="22"/>
  <c r="E43" i="11"/>
  <c r="H35" i="22"/>
  <c r="E44" i="11"/>
  <c r="H36" i="22"/>
  <c r="E45" i="11"/>
  <c r="H37" i="22"/>
  <c r="F37" i="22" a="1"/>
  <c r="F37" i="22"/>
  <c r="H13" i="11"/>
  <c r="B4" i="21"/>
  <c r="G13" i="11"/>
  <c r="B4" i="20"/>
  <c r="F13" i="11"/>
  <c r="F28" i="11"/>
  <c r="E13" i="11"/>
  <c r="E21" i="11"/>
  <c r="D174" i="21"/>
  <c r="D176" i="21"/>
  <c r="AI122" i="21" a="1"/>
  <c r="AI122" i="21"/>
  <c r="AH122" i="21" a="1"/>
  <c r="AH122" i="21"/>
  <c r="AG122" i="21" a="1"/>
  <c r="AG122" i="21"/>
  <c r="AF122" i="21" a="1"/>
  <c r="AF122" i="21"/>
  <c r="AE122" i="21" a="1"/>
  <c r="AE122" i="21"/>
  <c r="AD122" i="21" a="1"/>
  <c r="AD122" i="21"/>
  <c r="AC122" i="21" a="1"/>
  <c r="AC122" i="21"/>
  <c r="AB122" i="21" a="1"/>
  <c r="AB122" i="21"/>
  <c r="AA122" i="21" a="1"/>
  <c r="AA122" i="21"/>
  <c r="Z122" i="21" a="1"/>
  <c r="Z122" i="21"/>
  <c r="Y122" i="21" a="1"/>
  <c r="Y122" i="21"/>
  <c r="X122" i="21" a="1"/>
  <c r="X122" i="21"/>
  <c r="W122" i="21" a="1"/>
  <c r="W122" i="21"/>
  <c r="V122" i="21" a="1"/>
  <c r="V122" i="21"/>
  <c r="U122" i="21" a="1"/>
  <c r="U122" i="21"/>
  <c r="AI121" i="21" a="1"/>
  <c r="AI121" i="21"/>
  <c r="AH121" i="21" a="1"/>
  <c r="AH121" i="21"/>
  <c r="AG121" i="21" a="1"/>
  <c r="AG121" i="21"/>
  <c r="AF121" i="21" a="1"/>
  <c r="AF121" i="21"/>
  <c r="AE121" i="21" a="1"/>
  <c r="AE121" i="21"/>
  <c r="AD121" i="21" a="1"/>
  <c r="AD121" i="21"/>
  <c r="AC121" i="21" a="1"/>
  <c r="AC121" i="21"/>
  <c r="AB121" i="21" a="1"/>
  <c r="AB121" i="21"/>
  <c r="AA121" i="21" a="1"/>
  <c r="AA121" i="21"/>
  <c r="Z121" i="21" a="1"/>
  <c r="Z121" i="21"/>
  <c r="Y121" i="21" a="1"/>
  <c r="Y121" i="21"/>
  <c r="X121" i="21" a="1"/>
  <c r="X121" i="21"/>
  <c r="W121" i="21" a="1"/>
  <c r="W121" i="21"/>
  <c r="V121" i="21" a="1"/>
  <c r="V121" i="21"/>
  <c r="U121" i="21" a="1"/>
  <c r="U121"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AI90" i="21"/>
  <c r="AH90" i="21"/>
  <c r="AG90" i="21"/>
  <c r="AF90" i="21"/>
  <c r="AE90" i="21"/>
  <c r="AD90" i="21"/>
  <c r="AC90" i="21"/>
  <c r="AB90" i="21"/>
  <c r="AA90" i="21"/>
  <c r="Z90" i="21"/>
  <c r="Y90" i="21"/>
  <c r="X90" i="21"/>
  <c r="W90" i="21"/>
  <c r="V90" i="21"/>
  <c r="U90" i="21"/>
  <c r="AI88" i="21"/>
  <c r="AH88" i="21"/>
  <c r="AG88" i="21"/>
  <c r="AF88" i="21"/>
  <c r="AE88" i="21"/>
  <c r="AD88" i="21"/>
  <c r="AC88" i="21"/>
  <c r="AC86" i="21"/>
  <c r="AB88" i="21"/>
  <c r="AA88" i="21"/>
  <c r="Z88" i="21"/>
  <c r="Y88" i="21"/>
  <c r="X88" i="21"/>
  <c r="W88" i="21"/>
  <c r="V88" i="21"/>
  <c r="U88" i="21"/>
  <c r="AI87" i="21"/>
  <c r="AH87" i="21"/>
  <c r="AG87" i="21"/>
  <c r="AF87" i="21"/>
  <c r="AE87" i="21"/>
  <c r="AE86" i="21"/>
  <c r="AD87" i="21"/>
  <c r="AC87" i="21"/>
  <c r="AB87" i="21"/>
  <c r="AB86" i="21"/>
  <c r="AA87" i="21"/>
  <c r="Z87" i="21"/>
  <c r="Y87" i="21"/>
  <c r="X87" i="21"/>
  <c r="X86" i="21"/>
  <c r="W87" i="21"/>
  <c r="V87" i="21"/>
  <c r="U87" i="21"/>
  <c r="AD86"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T88" i="21"/>
  <c r="D174" i="20"/>
  <c r="AI122" i="20" a="1"/>
  <c r="AI122" i="20"/>
  <c r="AH122" i="20" a="1"/>
  <c r="AH122" i="20"/>
  <c r="AG122" i="20" a="1"/>
  <c r="AG122" i="20"/>
  <c r="AF122" i="20" a="1"/>
  <c r="AF122" i="20"/>
  <c r="AE122" i="20" a="1"/>
  <c r="AE122" i="20"/>
  <c r="AD122" i="20" a="1"/>
  <c r="AD122" i="20"/>
  <c r="AC122" i="20" a="1"/>
  <c r="AC122" i="20"/>
  <c r="AB122" i="20" a="1"/>
  <c r="AB122" i="20"/>
  <c r="AA122" i="20" a="1"/>
  <c r="AA122" i="20"/>
  <c r="Z122" i="20" a="1"/>
  <c r="Z122" i="20"/>
  <c r="Y122" i="20" a="1"/>
  <c r="Y122" i="20"/>
  <c r="X122" i="20" a="1"/>
  <c r="X122" i="20"/>
  <c r="W122" i="20" a="1"/>
  <c r="W122" i="20"/>
  <c r="V122" i="20" a="1"/>
  <c r="V122" i="20"/>
  <c r="U122" i="20" a="1"/>
  <c r="U122" i="20"/>
  <c r="AI121" i="20" a="1"/>
  <c r="AI121" i="20"/>
  <c r="AH121" i="20" a="1"/>
  <c r="AH121" i="20"/>
  <c r="AG121" i="20" a="1"/>
  <c r="AG121" i="20"/>
  <c r="AF121" i="20" a="1"/>
  <c r="AF121" i="20"/>
  <c r="AE121" i="20" a="1"/>
  <c r="AE121" i="20"/>
  <c r="AD121" i="20" a="1"/>
  <c r="AD121" i="20"/>
  <c r="AC121" i="20" a="1"/>
  <c r="AC121" i="20"/>
  <c r="AB121" i="20" a="1"/>
  <c r="AB121" i="20"/>
  <c r="AA121" i="20" a="1"/>
  <c r="AA121" i="20"/>
  <c r="Z121" i="20" a="1"/>
  <c r="Z121" i="20"/>
  <c r="Y121" i="20" a="1"/>
  <c r="Y121" i="20"/>
  <c r="X121" i="20" a="1"/>
  <c r="X121" i="20"/>
  <c r="W121" i="20" a="1"/>
  <c r="W121" i="20"/>
  <c r="V121" i="20" a="1"/>
  <c r="V121" i="20"/>
  <c r="U121" i="20" a="1"/>
  <c r="U121" i="20"/>
  <c r="AI120" i="20"/>
  <c r="AH120" i="20"/>
  <c r="AG120" i="20"/>
  <c r="AF120" i="20"/>
  <c r="AE120" i="20"/>
  <c r="AD120" i="20"/>
  <c r="AC120" i="20"/>
  <c r="AB120" i="20"/>
  <c r="AA120" i="20"/>
  <c r="Z120" i="20"/>
  <c r="Y120" i="20"/>
  <c r="X120" i="20"/>
  <c r="W120" i="20"/>
  <c r="V120" i="20"/>
  <c r="U120" i="20"/>
  <c r="T120" i="20"/>
  <c r="S120" i="20"/>
  <c r="R120" i="20"/>
  <c r="Q120" i="20"/>
  <c r="P120" i="20"/>
  <c r="O120" i="20"/>
  <c r="N120" i="20"/>
  <c r="M120" i="20"/>
  <c r="L120" i="20"/>
  <c r="K120" i="20"/>
  <c r="J120" i="20"/>
  <c r="I120" i="20"/>
  <c r="H120" i="20"/>
  <c r="G120" i="20"/>
  <c r="F120" i="20"/>
  <c r="AI108" i="20"/>
  <c r="AH108" i="20"/>
  <c r="AG108" i="20"/>
  <c r="AF108" i="20"/>
  <c r="AE108" i="20"/>
  <c r="AD108" i="20"/>
  <c r="AC108" i="20"/>
  <c r="AB108" i="20"/>
  <c r="AA108" i="20"/>
  <c r="Z108" i="20"/>
  <c r="Y108" i="20"/>
  <c r="X108" i="20"/>
  <c r="W108" i="20"/>
  <c r="V108" i="20"/>
  <c r="U108" i="20"/>
  <c r="T108" i="20"/>
  <c r="S108" i="20"/>
  <c r="R108" i="20"/>
  <c r="Q108" i="20"/>
  <c r="P108" i="20"/>
  <c r="O108" i="20"/>
  <c r="N108" i="20"/>
  <c r="M108" i="20"/>
  <c r="L108" i="20"/>
  <c r="K108" i="20"/>
  <c r="J108" i="20"/>
  <c r="I108" i="20"/>
  <c r="H108" i="20"/>
  <c r="G108" i="20"/>
  <c r="F108" i="20"/>
  <c r="G48" i="11"/>
  <c r="J65" i="22"/>
  <c r="AI92" i="20"/>
  <c r="AH92" i="20"/>
  <c r="AG92" i="20"/>
  <c r="AF92" i="20"/>
  <c r="AE92" i="20"/>
  <c r="AD92" i="20"/>
  <c r="AC92" i="20"/>
  <c r="AB92" i="20"/>
  <c r="AA92" i="20"/>
  <c r="Z92" i="20"/>
  <c r="Y92" i="20"/>
  <c r="X92" i="20"/>
  <c r="W92" i="20"/>
  <c r="V92" i="20"/>
  <c r="U92" i="20"/>
  <c r="T92" i="20"/>
  <c r="S92" i="20"/>
  <c r="R92" i="20"/>
  <c r="Q92" i="20"/>
  <c r="P92" i="20"/>
  <c r="O92" i="20"/>
  <c r="N92" i="20"/>
  <c r="M92" i="20"/>
  <c r="L92" i="20"/>
  <c r="K92" i="20"/>
  <c r="J92" i="20"/>
  <c r="I92" i="20"/>
  <c r="H92" i="20"/>
  <c r="G92" i="20"/>
  <c r="F92" i="20"/>
  <c r="AI91" i="20"/>
  <c r="AH91" i="20"/>
  <c r="AG91" i="20"/>
  <c r="AF91" i="20"/>
  <c r="AE91" i="20"/>
  <c r="AD91" i="20"/>
  <c r="AC91" i="20"/>
  <c r="AB91" i="20"/>
  <c r="AA91" i="20"/>
  <c r="Z91" i="20"/>
  <c r="Y91" i="20"/>
  <c r="X91" i="20"/>
  <c r="W91" i="20"/>
  <c r="V91" i="20"/>
  <c r="U91" i="20"/>
  <c r="T91" i="20"/>
  <c r="S91" i="20"/>
  <c r="R91" i="20"/>
  <c r="Q91" i="20"/>
  <c r="P91" i="20"/>
  <c r="O91" i="20"/>
  <c r="N91" i="20"/>
  <c r="M91" i="20"/>
  <c r="L91" i="20"/>
  <c r="K91" i="20"/>
  <c r="J91" i="20"/>
  <c r="I91" i="20"/>
  <c r="H91" i="20"/>
  <c r="G91" i="20"/>
  <c r="F91" i="20"/>
  <c r="AI90" i="20"/>
  <c r="AH90" i="20"/>
  <c r="AG90" i="20"/>
  <c r="AF90" i="20"/>
  <c r="AE90" i="20"/>
  <c r="AD90" i="20"/>
  <c r="AC90" i="20"/>
  <c r="AB90" i="20"/>
  <c r="AA90" i="20"/>
  <c r="Z90" i="20"/>
  <c r="Y90" i="20"/>
  <c r="X90" i="20"/>
  <c r="W90" i="20"/>
  <c r="V90" i="20"/>
  <c r="U90" i="20"/>
  <c r="AI88" i="20"/>
  <c r="AH88" i="20"/>
  <c r="AG88" i="20"/>
  <c r="AF88" i="20"/>
  <c r="AE88" i="20"/>
  <c r="AD88" i="20"/>
  <c r="AC88" i="20"/>
  <c r="AB88" i="20"/>
  <c r="AA88" i="20"/>
  <c r="Z88" i="20"/>
  <c r="Y88" i="20"/>
  <c r="X88" i="20"/>
  <c r="W88" i="20"/>
  <c r="V88" i="20"/>
  <c r="U88" i="20"/>
  <c r="Q88" i="20"/>
  <c r="AI87" i="20"/>
  <c r="AH87" i="20"/>
  <c r="AG87" i="20"/>
  <c r="AF87" i="20"/>
  <c r="AE87" i="20"/>
  <c r="AD87" i="20"/>
  <c r="AC87" i="20"/>
  <c r="AB87" i="20"/>
  <c r="AA87" i="20"/>
  <c r="Z87" i="20"/>
  <c r="Y87" i="20"/>
  <c r="X87" i="20"/>
  <c r="W87" i="20"/>
  <c r="V87" i="20"/>
  <c r="U87" i="20"/>
  <c r="AI80" i="20"/>
  <c r="AH80" i="20"/>
  <c r="AG80" i="20"/>
  <c r="AF80" i="20"/>
  <c r="AE80" i="20"/>
  <c r="AD80"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T88" i="20"/>
  <c r="D174" i="19"/>
  <c r="AI122" i="19" a="1"/>
  <c r="AI122" i="19"/>
  <c r="AH122" i="19" a="1"/>
  <c r="AH122" i="19"/>
  <c r="AG122" i="19" a="1"/>
  <c r="AG122" i="19"/>
  <c r="AF122" i="19" a="1"/>
  <c r="AF122" i="19"/>
  <c r="AE122" i="19" a="1"/>
  <c r="AE122" i="19"/>
  <c r="AD122" i="19" a="1"/>
  <c r="AD122" i="19"/>
  <c r="AC122" i="19" a="1"/>
  <c r="AC122" i="19"/>
  <c r="AB122" i="19" a="1"/>
  <c r="AB122" i="19"/>
  <c r="AA122" i="19" a="1"/>
  <c r="AA122" i="19"/>
  <c r="Z122" i="19" a="1"/>
  <c r="Z122" i="19"/>
  <c r="Y122" i="19" a="1"/>
  <c r="Y122" i="19"/>
  <c r="X122" i="19" a="1"/>
  <c r="X122" i="19"/>
  <c r="W122" i="19" a="1"/>
  <c r="W122" i="19"/>
  <c r="V122" i="19" a="1"/>
  <c r="V122" i="19"/>
  <c r="U122" i="19" a="1"/>
  <c r="U122" i="19"/>
  <c r="AI121" i="19" a="1"/>
  <c r="AI121" i="19"/>
  <c r="AH121" i="19" a="1"/>
  <c r="AH121" i="19"/>
  <c r="AG121" i="19" a="1"/>
  <c r="AG121" i="19"/>
  <c r="AF121" i="19" a="1"/>
  <c r="AF121" i="19"/>
  <c r="AE121" i="19" a="1"/>
  <c r="AE121" i="19"/>
  <c r="AD121" i="19" a="1"/>
  <c r="AD121" i="19"/>
  <c r="AC121" i="19" a="1"/>
  <c r="AC121" i="19"/>
  <c r="AB121" i="19" a="1"/>
  <c r="AB121" i="19"/>
  <c r="AA121" i="19" a="1"/>
  <c r="AA121" i="19"/>
  <c r="Z121" i="19" a="1"/>
  <c r="Z121" i="19"/>
  <c r="Y121" i="19" a="1"/>
  <c r="Y121" i="19"/>
  <c r="X121" i="19" a="1"/>
  <c r="X121" i="19"/>
  <c r="W121" i="19" a="1"/>
  <c r="W121" i="19"/>
  <c r="V121" i="19" a="1"/>
  <c r="V121" i="19"/>
  <c r="U121" i="19" a="1"/>
  <c r="U121" i="19"/>
  <c r="AI120" i="19"/>
  <c r="AH120" i="19"/>
  <c r="AG120" i="19"/>
  <c r="AF120" i="19"/>
  <c r="AE120" i="19"/>
  <c r="AD120" i="19"/>
  <c r="AC120" i="19"/>
  <c r="AB120" i="19"/>
  <c r="AA120" i="19"/>
  <c r="Z120" i="19"/>
  <c r="Y120" i="19"/>
  <c r="X120" i="19"/>
  <c r="W120" i="19"/>
  <c r="V120" i="19"/>
  <c r="U120" i="19"/>
  <c r="T120" i="19"/>
  <c r="S120" i="19"/>
  <c r="R120" i="19"/>
  <c r="Q120" i="19"/>
  <c r="P120" i="19"/>
  <c r="O120" i="19"/>
  <c r="N120" i="19"/>
  <c r="M120" i="19"/>
  <c r="L120" i="19"/>
  <c r="K120" i="19"/>
  <c r="J120" i="19"/>
  <c r="I120" i="19"/>
  <c r="H120" i="19"/>
  <c r="G120" i="19"/>
  <c r="F120" i="19"/>
  <c r="AI108" i="19"/>
  <c r="AH108" i="19"/>
  <c r="AG108" i="19"/>
  <c r="AF108" i="19"/>
  <c r="AE108" i="19"/>
  <c r="AD108" i="19"/>
  <c r="AC108" i="19"/>
  <c r="AB108" i="19"/>
  <c r="AA108" i="19"/>
  <c r="Z108" i="19"/>
  <c r="Y108" i="19"/>
  <c r="X108" i="19"/>
  <c r="W108" i="19"/>
  <c r="V108" i="19"/>
  <c r="U108" i="19"/>
  <c r="T108" i="19"/>
  <c r="S108" i="19"/>
  <c r="R108" i="19"/>
  <c r="Q108" i="19"/>
  <c r="P108" i="19"/>
  <c r="O108" i="19"/>
  <c r="N108" i="19"/>
  <c r="M108" i="19"/>
  <c r="L108" i="19"/>
  <c r="K108" i="19"/>
  <c r="J108" i="19"/>
  <c r="I108" i="19"/>
  <c r="H108" i="19"/>
  <c r="G108" i="19"/>
  <c r="F108" i="19"/>
  <c r="F48" i="11"/>
  <c r="I65" i="22"/>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AI90" i="19"/>
  <c r="AH90" i="19"/>
  <c r="AG90" i="19"/>
  <c r="AF90" i="19"/>
  <c r="AE90" i="19"/>
  <c r="AD90" i="19"/>
  <c r="AC90" i="19"/>
  <c r="AB90" i="19"/>
  <c r="AA90" i="19"/>
  <c r="Z90" i="19"/>
  <c r="Y90" i="19"/>
  <c r="X90" i="19"/>
  <c r="W90" i="19"/>
  <c r="V90" i="19"/>
  <c r="U90" i="19"/>
  <c r="AI88" i="19"/>
  <c r="AH88" i="19"/>
  <c r="AG88" i="19"/>
  <c r="AF88" i="19"/>
  <c r="AE88" i="19"/>
  <c r="AD88" i="19"/>
  <c r="AC88" i="19"/>
  <c r="AB88" i="19"/>
  <c r="AA88" i="19"/>
  <c r="Z88" i="19"/>
  <c r="Y88" i="19"/>
  <c r="X88" i="19"/>
  <c r="W88" i="19"/>
  <c r="V88" i="19"/>
  <c r="U88" i="19"/>
  <c r="AI87" i="19"/>
  <c r="AH87" i="19"/>
  <c r="AG87" i="19"/>
  <c r="AF87" i="19"/>
  <c r="AE87" i="19"/>
  <c r="AD87" i="19"/>
  <c r="AC87" i="19"/>
  <c r="AB87" i="19"/>
  <c r="AA87" i="19"/>
  <c r="Z87" i="19"/>
  <c r="Y87" i="19"/>
  <c r="X87" i="19"/>
  <c r="W87" i="19"/>
  <c r="V87" i="19"/>
  <c r="U87"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N88" i="19"/>
  <c r="F56" i="8"/>
  <c r="E59" i="11"/>
  <c r="H101" i="22"/>
  <c r="E58" i="11"/>
  <c r="H100" i="22"/>
  <c r="F100" i="22" a="1"/>
  <c r="F100" i="22"/>
  <c r="D58" i="11"/>
  <c r="E57" i="11"/>
  <c r="H99" i="22"/>
  <c r="D62" i="11"/>
  <c r="D61" i="11"/>
  <c r="D56" i="11"/>
  <c r="D54" i="11"/>
  <c r="F87" i="20"/>
  <c r="R87" i="20"/>
  <c r="H88" i="20"/>
  <c r="D176" i="20"/>
  <c r="G59" i="11"/>
  <c r="J101" i="22"/>
  <c r="G57" i="11"/>
  <c r="J99" i="22"/>
  <c r="N88" i="20"/>
  <c r="AH86" i="20"/>
  <c r="AH114" i="20"/>
  <c r="W86" i="20"/>
  <c r="W114" i="20"/>
  <c r="AE86" i="20"/>
  <c r="AE114" i="20"/>
  <c r="S88" i="20"/>
  <c r="G46" i="11"/>
  <c r="J63" i="22"/>
  <c r="H87" i="20"/>
  <c r="O87" i="20"/>
  <c r="F35" i="22" a="1"/>
  <c r="F35" i="22"/>
  <c r="F36" i="22" a="1"/>
  <c r="F36" i="22"/>
  <c r="F34" i="22" a="1"/>
  <c r="F34" i="22"/>
  <c r="F33" i="22" a="1"/>
  <c r="F33" i="22"/>
  <c r="F101" i="22" a="1"/>
  <c r="F101" i="22"/>
  <c r="F80" i="22"/>
  <c r="D176" i="19"/>
  <c r="F59" i="11"/>
  <c r="I101" i="22"/>
  <c r="F57" i="11"/>
  <c r="I99" i="22"/>
  <c r="S87" i="19"/>
  <c r="S88" i="19"/>
  <c r="F46" i="11"/>
  <c r="I63" i="22"/>
  <c r="AF86" i="20"/>
  <c r="AF114" i="20"/>
  <c r="AF123" i="20"/>
  <c r="AF125" i="20" a="1"/>
  <c r="AF125" i="20"/>
  <c r="Z86" i="21"/>
  <c r="Z114" i="21"/>
  <c r="AH86" i="21"/>
  <c r="Y86" i="21"/>
  <c r="AG86" i="21"/>
  <c r="AG114" i="21"/>
  <c r="AG124" i="21"/>
  <c r="AG126" i="21"/>
  <c r="AA86" i="21"/>
  <c r="AA114" i="21"/>
  <c r="V86" i="21"/>
  <c r="AF86" i="21"/>
  <c r="R87" i="19"/>
  <c r="M88" i="19"/>
  <c r="N87" i="20"/>
  <c r="L88" i="20"/>
  <c r="M88" i="21"/>
  <c r="X86" i="20"/>
  <c r="X114" i="20"/>
  <c r="X123" i="20"/>
  <c r="X125" i="20" a="1"/>
  <c r="X125" i="20"/>
  <c r="U86" i="21"/>
  <c r="X114" i="21"/>
  <c r="F87" i="19"/>
  <c r="T87" i="19"/>
  <c r="O88" i="19"/>
  <c r="P87" i="20"/>
  <c r="P88" i="20"/>
  <c r="AC86" i="20"/>
  <c r="AC114" i="20"/>
  <c r="AC123" i="20"/>
  <c r="AC125" i="20" a="1"/>
  <c r="AC125" i="20"/>
  <c r="Y114" i="21"/>
  <c r="Y124" i="21"/>
  <c r="Y126" i="21"/>
  <c r="G87" i="19"/>
  <c r="P88" i="19"/>
  <c r="H87" i="19"/>
  <c r="Q88" i="19"/>
  <c r="T87" i="20"/>
  <c r="R88" i="20"/>
  <c r="J87" i="19"/>
  <c r="R88" i="19"/>
  <c r="G87" i="21"/>
  <c r="AB114" i="21"/>
  <c r="K87" i="19"/>
  <c r="F88" i="19"/>
  <c r="N90" i="19"/>
  <c r="T88" i="19"/>
  <c r="U86" i="20"/>
  <c r="AG86" i="20"/>
  <c r="AG114" i="20"/>
  <c r="AG124" i="20"/>
  <c r="AG126" i="20"/>
  <c r="K87" i="21"/>
  <c r="AC114" i="21"/>
  <c r="AC123" i="21"/>
  <c r="AC125" i="21" a="1"/>
  <c r="AC125" i="21"/>
  <c r="L87" i="19"/>
  <c r="G88" i="19"/>
  <c r="O87" i="21"/>
  <c r="AE114" i="21"/>
  <c r="AD114" i="21"/>
  <c r="M87" i="19"/>
  <c r="H88" i="19"/>
  <c r="G87" i="20"/>
  <c r="F88" i="20"/>
  <c r="M90" i="20"/>
  <c r="S87" i="21"/>
  <c r="N87" i="19"/>
  <c r="AF114" i="21"/>
  <c r="O87" i="19"/>
  <c r="AB86" i="19"/>
  <c r="AB114" i="19"/>
  <c r="AB124" i="19"/>
  <c r="AB126" i="19"/>
  <c r="J88" i="19"/>
  <c r="J87" i="20"/>
  <c r="I88" i="20"/>
  <c r="Y86" i="20"/>
  <c r="Y114" i="20"/>
  <c r="U114" i="21"/>
  <c r="U123" i="21"/>
  <c r="U125" i="21" a="1"/>
  <c r="U125" i="21"/>
  <c r="I88" i="19"/>
  <c r="P87" i="19"/>
  <c r="L88" i="19"/>
  <c r="L87" i="20"/>
  <c r="J88" i="20"/>
  <c r="W86" i="21"/>
  <c r="W114" i="21"/>
  <c r="W123" i="21"/>
  <c r="W125" i="21" a="1"/>
  <c r="W125" i="21"/>
  <c r="AI86" i="21"/>
  <c r="AI114" i="21"/>
  <c r="AI123" i="21"/>
  <c r="AI125" i="21" a="1"/>
  <c r="AI125" i="21"/>
  <c r="V114" i="21"/>
  <c r="AH114" i="21"/>
  <c r="H21" i="11"/>
  <c r="G21" i="11"/>
  <c r="F21" i="11"/>
  <c r="E28" i="11"/>
  <c r="B4" i="19"/>
  <c r="G28" i="11"/>
  <c r="H28" i="11"/>
  <c r="B4" i="7"/>
  <c r="AE123" i="21"/>
  <c r="AE125" i="21" a="1"/>
  <c r="AE125" i="21"/>
  <c r="AE124" i="21"/>
  <c r="AE126" i="21"/>
  <c r="V123" i="21"/>
  <c r="V125" i="21" a="1"/>
  <c r="V125" i="21"/>
  <c r="V124" i="21"/>
  <c r="V126" i="21"/>
  <c r="X123" i="21"/>
  <c r="X125" i="21" a="1"/>
  <c r="X125" i="21"/>
  <c r="X124" i="21"/>
  <c r="X126" i="21"/>
  <c r="AF123" i="21"/>
  <c r="AF125" i="21" a="1"/>
  <c r="AF125" i="21"/>
  <c r="AF124" i="21"/>
  <c r="AF126" i="21"/>
  <c r="AA123" i="21"/>
  <c r="AA125" i="21" a="1"/>
  <c r="AA125" i="21"/>
  <c r="AA124" i="21"/>
  <c r="AA126" i="21"/>
  <c r="AD123" i="21"/>
  <c r="AD125" i="21" a="1"/>
  <c r="AD125" i="21"/>
  <c r="AD124" i="21"/>
  <c r="AD126" i="21"/>
  <c r="AH124" i="21"/>
  <c r="AH126" i="21"/>
  <c r="AH123" i="21"/>
  <c r="AH125" i="21" a="1"/>
  <c r="AH125" i="21"/>
  <c r="AB123" i="21"/>
  <c r="AB125" i="21" a="1"/>
  <c r="AB125" i="21"/>
  <c r="AB124" i="21"/>
  <c r="AB126" i="21"/>
  <c r="AC124" i="21"/>
  <c r="AC126" i="21"/>
  <c r="L87" i="21"/>
  <c r="T87" i="21"/>
  <c r="F88" i="21"/>
  <c r="N88" i="21"/>
  <c r="M87" i="21"/>
  <c r="G88" i="21"/>
  <c r="O88" i="21"/>
  <c r="AA86" i="20"/>
  <c r="AA114" i="20"/>
  <c r="AA123" i="20"/>
  <c r="AA125" i="20" a="1"/>
  <c r="AA125" i="20"/>
  <c r="AI86" i="20"/>
  <c r="AI114" i="20"/>
  <c r="AI123" i="20"/>
  <c r="AI125" i="20" a="1"/>
  <c r="AI125" i="20"/>
  <c r="F87" i="21"/>
  <c r="N87" i="21"/>
  <c r="H88" i="21"/>
  <c r="P88" i="21"/>
  <c r="I88" i="21"/>
  <c r="Q88" i="21"/>
  <c r="V86" i="20"/>
  <c r="V114" i="20"/>
  <c r="AD86" i="20"/>
  <c r="H87" i="21"/>
  <c r="P87" i="21"/>
  <c r="J88" i="21"/>
  <c r="R88" i="21"/>
  <c r="Z86" i="20"/>
  <c r="Z114" i="20"/>
  <c r="I87" i="21"/>
  <c r="Q87" i="21"/>
  <c r="K88" i="21"/>
  <c r="S88" i="21"/>
  <c r="U114" i="20"/>
  <c r="U123" i="20"/>
  <c r="U125" i="20" a="1"/>
  <c r="U125" i="20"/>
  <c r="J87" i="21"/>
  <c r="R87" i="21"/>
  <c r="L88" i="21"/>
  <c r="X124" i="20"/>
  <c r="X126" i="20"/>
  <c r="AD114" i="20"/>
  <c r="AB86" i="20"/>
  <c r="AB114" i="20"/>
  <c r="N90" i="20"/>
  <c r="F90" i="20"/>
  <c r="F86" i="20"/>
  <c r="K90" i="20"/>
  <c r="J90" i="20"/>
  <c r="J86" i="20"/>
  <c r="J114" i="20"/>
  <c r="Q90" i="20"/>
  <c r="AI86" i="19"/>
  <c r="AI114" i="19"/>
  <c r="AI123" i="19"/>
  <c r="AI125" i="19" a="1"/>
  <c r="AI125" i="19"/>
  <c r="W86" i="19"/>
  <c r="W114" i="19"/>
  <c r="AE86" i="19"/>
  <c r="AE114" i="19"/>
  <c r="K87" i="20"/>
  <c r="S87" i="20"/>
  <c r="M88" i="20"/>
  <c r="M87" i="20"/>
  <c r="G88" i="20"/>
  <c r="O88" i="20"/>
  <c r="AF86" i="19"/>
  <c r="AF114" i="19"/>
  <c r="X86" i="19"/>
  <c r="X114" i="19"/>
  <c r="U86" i="19"/>
  <c r="U114" i="19"/>
  <c r="AC86" i="19"/>
  <c r="AC114" i="19"/>
  <c r="Y86" i="19"/>
  <c r="Y114" i="19"/>
  <c r="AG86" i="19"/>
  <c r="AG114" i="19"/>
  <c r="Z86" i="19"/>
  <c r="Z114" i="19"/>
  <c r="Z124" i="19"/>
  <c r="Z126" i="19"/>
  <c r="AH86" i="19"/>
  <c r="AH114" i="19"/>
  <c r="AH123" i="19"/>
  <c r="AH125" i="19" a="1"/>
  <c r="AH125" i="19"/>
  <c r="I87" i="20"/>
  <c r="Q87" i="20"/>
  <c r="K88" i="20"/>
  <c r="AA86" i="19"/>
  <c r="AA114" i="19"/>
  <c r="AA124" i="19"/>
  <c r="AA126" i="19"/>
  <c r="V86" i="19"/>
  <c r="V114" i="19"/>
  <c r="AD86" i="19"/>
  <c r="AD114" i="19"/>
  <c r="I87" i="19"/>
  <c r="Q87" i="19"/>
  <c r="K88" i="19"/>
  <c r="F99" i="22" a="1"/>
  <c r="F99" i="22"/>
  <c r="D80" i="22"/>
  <c r="D88" i="22"/>
  <c r="AI124" i="20"/>
  <c r="AI126" i="20"/>
  <c r="N86" i="20"/>
  <c r="N114" i="20"/>
  <c r="AH124" i="20"/>
  <c r="AH126" i="20"/>
  <c r="AH123" i="20"/>
  <c r="AH125" i="20" a="1"/>
  <c r="AH125" i="20"/>
  <c r="R90" i="20"/>
  <c r="R86" i="20"/>
  <c r="R114" i="20"/>
  <c r="R123" i="20"/>
  <c r="R125" i="20" a="1"/>
  <c r="R125" i="20"/>
  <c r="S90" i="20"/>
  <c r="G90" i="20"/>
  <c r="T90" i="20"/>
  <c r="T86" i="20"/>
  <c r="T114" i="20"/>
  <c r="T123" i="20"/>
  <c r="T125" i="20" a="1"/>
  <c r="T125" i="20"/>
  <c r="L90" i="20"/>
  <c r="L86" i="20"/>
  <c r="L114" i="20"/>
  <c r="L123" i="20"/>
  <c r="L125" i="20" a="1"/>
  <c r="L125" i="20"/>
  <c r="O90" i="20"/>
  <c r="AB123" i="19"/>
  <c r="AB125" i="19" a="1"/>
  <c r="AB125" i="19"/>
  <c r="Q90" i="19"/>
  <c r="M90" i="19"/>
  <c r="M86" i="19"/>
  <c r="M114" i="19"/>
  <c r="K90" i="19"/>
  <c r="AI124" i="19"/>
  <c r="AI126" i="19"/>
  <c r="N86" i="19"/>
  <c r="N114" i="19"/>
  <c r="N123" i="19"/>
  <c r="N125" i="19" a="1"/>
  <c r="N125" i="19"/>
  <c r="D139" i="20"/>
  <c r="G53" i="11"/>
  <c r="J70" i="22"/>
  <c r="G47" i="11"/>
  <c r="J64" i="22"/>
  <c r="Y124" i="20"/>
  <c r="Y126" i="20"/>
  <c r="Y123" i="20"/>
  <c r="Y125" i="20" a="1"/>
  <c r="Y125" i="20"/>
  <c r="Z123" i="21"/>
  <c r="Z125" i="21" a="1"/>
  <c r="Z125" i="21"/>
  <c r="Z124" i="21"/>
  <c r="Z126" i="21"/>
  <c r="J90" i="19"/>
  <c r="J86" i="19"/>
  <c r="J114" i="19"/>
  <c r="J123" i="19"/>
  <c r="J125" i="19" a="1"/>
  <c r="J125" i="19"/>
  <c r="Q86" i="19"/>
  <c r="Q114" i="19"/>
  <c r="Q123" i="19"/>
  <c r="Q125" i="19" a="1"/>
  <c r="Q125" i="19"/>
  <c r="R90" i="19"/>
  <c r="R86" i="19"/>
  <c r="R114" i="19"/>
  <c r="R123" i="19"/>
  <c r="R125" i="19" a="1"/>
  <c r="R125" i="19"/>
  <c r="AC124" i="20"/>
  <c r="AC126" i="20"/>
  <c r="Y123" i="21"/>
  <c r="Y125" i="21" a="1"/>
  <c r="Y125" i="21"/>
  <c r="AG123" i="20"/>
  <c r="AG125" i="20" a="1"/>
  <c r="AG125" i="20"/>
  <c r="S90" i="19"/>
  <c r="S86" i="19"/>
  <c r="S114" i="19"/>
  <c r="S123" i="19"/>
  <c r="S125" i="19" a="1"/>
  <c r="S125" i="19"/>
  <c r="L90" i="19"/>
  <c r="L86" i="19"/>
  <c r="L114" i="19"/>
  <c r="W124" i="21"/>
  <c r="W126" i="21"/>
  <c r="T90" i="19"/>
  <c r="T86" i="19"/>
  <c r="T114" i="19"/>
  <c r="T123" i="19"/>
  <c r="T125" i="19" a="1"/>
  <c r="T125" i="19"/>
  <c r="AA123" i="19"/>
  <c r="AA125" i="19" a="1"/>
  <c r="AA125" i="19"/>
  <c r="O90" i="19"/>
  <c r="O86" i="19"/>
  <c r="O114" i="19"/>
  <c r="P90" i="19"/>
  <c r="P86" i="19"/>
  <c r="P114" i="19"/>
  <c r="P123" i="19"/>
  <c r="P125" i="19" a="1"/>
  <c r="P125" i="19"/>
  <c r="AF124" i="20"/>
  <c r="AF126" i="20"/>
  <c r="U124" i="21"/>
  <c r="U126" i="21"/>
  <c r="I90" i="19"/>
  <c r="I86" i="19"/>
  <c r="I114" i="19"/>
  <c r="G90" i="19"/>
  <c r="G86" i="19"/>
  <c r="G114" i="19"/>
  <c r="AI124" i="21"/>
  <c r="AI126" i="21"/>
  <c r="F90" i="19"/>
  <c r="F86" i="19"/>
  <c r="F47" i="11"/>
  <c r="I64" i="22"/>
  <c r="H90" i="19"/>
  <c r="H86" i="19"/>
  <c r="H114" i="19"/>
  <c r="H123" i="19"/>
  <c r="H125" i="19" a="1"/>
  <c r="H125" i="19"/>
  <c r="S86" i="20"/>
  <c r="S114" i="20"/>
  <c r="AG123" i="21"/>
  <c r="AG125" i="21" a="1"/>
  <c r="AG125" i="21"/>
  <c r="H90" i="20"/>
  <c r="H86" i="20"/>
  <c r="H114" i="20"/>
  <c r="H123" i="20"/>
  <c r="H125" i="20" a="1"/>
  <c r="H125" i="20"/>
  <c r="P90" i="20"/>
  <c r="P86" i="20"/>
  <c r="P114" i="20"/>
  <c r="P123" i="20"/>
  <c r="P125" i="20" a="1"/>
  <c r="P125" i="20"/>
  <c r="Q86" i="20"/>
  <c r="Q114" i="20"/>
  <c r="Q123" i="20"/>
  <c r="Q125" i="20" a="1"/>
  <c r="Q125" i="20"/>
  <c r="I90" i="20"/>
  <c r="N90" i="21"/>
  <c r="N86" i="21"/>
  <c r="N114" i="21"/>
  <c r="F90" i="21"/>
  <c r="F86" i="21"/>
  <c r="H47" i="11"/>
  <c r="M90" i="21"/>
  <c r="M86" i="21"/>
  <c r="M114" i="21"/>
  <c r="T90" i="21"/>
  <c r="T86" i="21"/>
  <c r="T114" i="21"/>
  <c r="L90" i="21"/>
  <c r="L86" i="21"/>
  <c r="L114" i="21"/>
  <c r="G90" i="21"/>
  <c r="G86" i="21"/>
  <c r="G114" i="21"/>
  <c r="S90" i="21"/>
  <c r="S86" i="21"/>
  <c r="S114" i="21"/>
  <c r="K90" i="21"/>
  <c r="K86" i="21"/>
  <c r="K114" i="21"/>
  <c r="R90" i="21"/>
  <c r="R86" i="21"/>
  <c r="R114" i="21"/>
  <c r="J90" i="21"/>
  <c r="J86" i="21"/>
  <c r="J114" i="21"/>
  <c r="O90" i="21"/>
  <c r="O86" i="21"/>
  <c r="O114" i="21"/>
  <c r="Q90" i="21"/>
  <c r="I90" i="21"/>
  <c r="I86" i="21"/>
  <c r="I114" i="21"/>
  <c r="P90" i="21"/>
  <c r="P86" i="21"/>
  <c r="P114" i="21"/>
  <c r="H90" i="21"/>
  <c r="H86" i="21"/>
  <c r="H114" i="21"/>
  <c r="O86" i="20"/>
  <c r="O114" i="20"/>
  <c r="O123" i="20"/>
  <c r="O125" i="20" a="1"/>
  <c r="O125" i="20"/>
  <c r="AA124" i="20"/>
  <c r="AA126" i="20"/>
  <c r="U124" i="20"/>
  <c r="U126" i="20"/>
  <c r="G86" i="20"/>
  <c r="G114" i="20"/>
  <c r="G123" i="20"/>
  <c r="G125" i="20" a="1"/>
  <c r="G125" i="20"/>
  <c r="Q86" i="21"/>
  <c r="Q114" i="21"/>
  <c r="D139" i="19"/>
  <c r="F53" i="11"/>
  <c r="I70" i="22"/>
  <c r="W123" i="19"/>
  <c r="W125" i="19" a="1"/>
  <c r="W125" i="19"/>
  <c r="W124" i="19"/>
  <c r="W126" i="19"/>
  <c r="AE123" i="19"/>
  <c r="AE125" i="19" a="1"/>
  <c r="AE125" i="19"/>
  <c r="AE124" i="19"/>
  <c r="AE126" i="19"/>
  <c r="N123" i="20"/>
  <c r="N125" i="20" a="1"/>
  <c r="N125" i="20"/>
  <c r="S123" i="20"/>
  <c r="S125" i="20" a="1"/>
  <c r="S125" i="20"/>
  <c r="K86" i="20"/>
  <c r="K114" i="20"/>
  <c r="AB123" i="20"/>
  <c r="AB125" i="20" a="1"/>
  <c r="AB125" i="20"/>
  <c r="AB124" i="20"/>
  <c r="AB126" i="20"/>
  <c r="I86" i="20"/>
  <c r="I114" i="20"/>
  <c r="J123" i="20"/>
  <c r="J125" i="20" a="1"/>
  <c r="J125" i="20"/>
  <c r="AD123" i="20"/>
  <c r="AD125" i="20" a="1"/>
  <c r="AD125" i="20"/>
  <c r="AD124" i="20"/>
  <c r="AD126" i="20"/>
  <c r="Z123" i="19"/>
  <c r="Z125" i="19" a="1"/>
  <c r="Z125" i="19"/>
  <c r="V123" i="20"/>
  <c r="V125" i="20" a="1"/>
  <c r="V125" i="20"/>
  <c r="V124" i="20"/>
  <c r="V126" i="20"/>
  <c r="AH124" i="19"/>
  <c r="AH126" i="19"/>
  <c r="M86" i="20"/>
  <c r="M114" i="20"/>
  <c r="W123" i="20"/>
  <c r="W125" i="20" a="1"/>
  <c r="W125" i="20"/>
  <c r="W124" i="20"/>
  <c r="W126" i="20"/>
  <c r="AE123" i="20"/>
  <c r="AE125" i="20" a="1"/>
  <c r="AE125" i="20"/>
  <c r="AE124" i="20"/>
  <c r="AE126" i="20"/>
  <c r="F114" i="20"/>
  <c r="K86" i="19"/>
  <c r="K114" i="19"/>
  <c r="Z124" i="20"/>
  <c r="Z126" i="20"/>
  <c r="Z123" i="20"/>
  <c r="Z125" i="20" a="1"/>
  <c r="Z125" i="20"/>
  <c r="G123" i="19"/>
  <c r="G125" i="19" a="1"/>
  <c r="G125" i="19"/>
  <c r="V123" i="19"/>
  <c r="V125" i="19" a="1"/>
  <c r="V125" i="19"/>
  <c r="V124" i="19"/>
  <c r="V126" i="19"/>
  <c r="M123" i="19"/>
  <c r="M125" i="19" a="1"/>
  <c r="M125" i="19"/>
  <c r="AD123" i="19"/>
  <c r="AD125" i="19" a="1"/>
  <c r="AD125" i="19"/>
  <c r="AD124" i="19"/>
  <c r="AD126" i="19"/>
  <c r="L123" i="19"/>
  <c r="L125" i="19" a="1"/>
  <c r="L125" i="19"/>
  <c r="O123" i="19"/>
  <c r="O125" i="19" a="1"/>
  <c r="O125" i="19"/>
  <c r="Y124" i="19"/>
  <c r="Y126" i="19"/>
  <c r="Y123" i="19"/>
  <c r="Y125" i="19" a="1"/>
  <c r="Y125" i="19"/>
  <c r="AC124" i="19"/>
  <c r="AC126" i="19"/>
  <c r="AC123" i="19"/>
  <c r="AC125" i="19" a="1"/>
  <c r="AC125" i="19"/>
  <c r="AG124" i="19"/>
  <c r="AG126" i="19"/>
  <c r="AG123" i="19"/>
  <c r="AG125" i="19" a="1"/>
  <c r="AG125" i="19"/>
  <c r="U124" i="19"/>
  <c r="U126" i="19"/>
  <c r="U123" i="19"/>
  <c r="U125" i="19" a="1"/>
  <c r="U125" i="19"/>
  <c r="AF123" i="19"/>
  <c r="AF125" i="19" a="1"/>
  <c r="AF125" i="19"/>
  <c r="AF124" i="19"/>
  <c r="AF126" i="19"/>
  <c r="X123" i="19"/>
  <c r="X125" i="19" a="1"/>
  <c r="X125" i="19"/>
  <c r="X124" i="19"/>
  <c r="X126" i="19"/>
  <c r="E56" i="11"/>
  <c r="H73" i="22"/>
  <c r="F73" i="22" a="1"/>
  <c r="F73" i="22"/>
  <c r="E55" i="11"/>
  <c r="H72" i="22"/>
  <c r="F72" i="22" a="1"/>
  <c r="F72" i="22"/>
  <c r="E54" i="11"/>
  <c r="H71" i="22"/>
  <c r="F71" i="22" a="1"/>
  <c r="F71" i="22"/>
  <c r="F114" i="19"/>
  <c r="F123" i="19"/>
  <c r="F125" i="19" a="1"/>
  <c r="F125" i="19"/>
  <c r="R123" i="21"/>
  <c r="R125" i="21" a="1"/>
  <c r="R125" i="21"/>
  <c r="H123" i="21"/>
  <c r="H125" i="21" a="1"/>
  <c r="H125" i="21"/>
  <c r="S123" i="21"/>
  <c r="S125" i="21" a="1"/>
  <c r="S125" i="21"/>
  <c r="N123" i="21"/>
  <c r="N125" i="21" a="1"/>
  <c r="N125" i="21"/>
  <c r="I123" i="21"/>
  <c r="I125" i="21" a="1"/>
  <c r="I125" i="21"/>
  <c r="T123" i="21"/>
  <c r="T125" i="21" a="1"/>
  <c r="T125" i="21"/>
  <c r="L123" i="21"/>
  <c r="L125" i="21" a="1"/>
  <c r="L125" i="21"/>
  <c r="O123" i="21"/>
  <c r="O125" i="21" a="1"/>
  <c r="O125" i="21"/>
  <c r="D139" i="21"/>
  <c r="H53" i="11"/>
  <c r="F114" i="21"/>
  <c r="G123" i="21"/>
  <c r="G125" i="21" a="1"/>
  <c r="G125" i="21"/>
  <c r="J123" i="21"/>
  <c r="J125" i="21" a="1"/>
  <c r="J125" i="21"/>
  <c r="I123" i="19"/>
  <c r="I125" i="19" a="1"/>
  <c r="I125" i="19"/>
  <c r="M123" i="21"/>
  <c r="M125" i="21" a="1"/>
  <c r="M125" i="21"/>
  <c r="Q123" i="21"/>
  <c r="Q125" i="21" a="1"/>
  <c r="Q125" i="21"/>
  <c r="P123" i="21"/>
  <c r="P125" i="21" a="1"/>
  <c r="P125" i="21"/>
  <c r="K123" i="21"/>
  <c r="K125" i="21" a="1"/>
  <c r="K125" i="21"/>
  <c r="K123" i="19"/>
  <c r="K125" i="19" a="1"/>
  <c r="K125" i="19"/>
  <c r="F123" i="20"/>
  <c r="F125" i="20" a="1"/>
  <c r="F125" i="20"/>
  <c r="M123" i="20"/>
  <c r="M125" i="20" a="1"/>
  <c r="M125" i="20"/>
  <c r="I123" i="20"/>
  <c r="I125" i="20" a="1"/>
  <c r="I125" i="20"/>
  <c r="K123" i="20"/>
  <c r="K125" i="20" a="1"/>
  <c r="K125" i="20"/>
  <c r="E61" i="11"/>
  <c r="H127" i="22"/>
  <c r="F127" i="22" a="1"/>
  <c r="F127" i="22"/>
  <c r="D108" i="22"/>
  <c r="D116" i="22"/>
  <c r="E62" i="11"/>
  <c r="H128" i="22"/>
  <c r="F128" i="22" a="1"/>
  <c r="F128" i="22"/>
  <c r="F108" i="22"/>
  <c r="F116" i="22"/>
  <c r="F123" i="21"/>
  <c r="F125" i="21" a="1"/>
  <c r="F125" i="21"/>
  <c r="D48" i="9"/>
  <c r="D47" i="9"/>
  <c r="D46" i="9"/>
  <c r="U88" i="7"/>
  <c r="V88" i="7"/>
  <c r="W88" i="7"/>
  <c r="X88" i="7"/>
  <c r="Y88" i="7"/>
  <c r="Z88" i="7"/>
  <c r="AA88" i="7"/>
  <c r="AB88" i="7"/>
  <c r="AC88" i="7"/>
  <c r="AD88" i="7"/>
  <c r="AE88" i="7"/>
  <c r="AF88" i="7"/>
  <c r="AG88" i="7"/>
  <c r="AH88" i="7"/>
  <c r="AI88" i="7"/>
  <c r="U90" i="7"/>
  <c r="V90" i="7"/>
  <c r="W90" i="7"/>
  <c r="X90" i="7"/>
  <c r="Y90" i="7"/>
  <c r="Z90" i="7"/>
  <c r="AA90" i="7"/>
  <c r="AB90" i="7"/>
  <c r="AC90" i="7"/>
  <c r="AD90" i="7"/>
  <c r="AE90" i="7"/>
  <c r="AF90" i="7"/>
  <c r="AG90" i="7"/>
  <c r="AH90" i="7"/>
  <c r="AI90"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F92" i="7"/>
  <c r="F91" i="7"/>
  <c r="U87" i="7"/>
  <c r="V87" i="7"/>
  <c r="W87" i="7"/>
  <c r="X87" i="7"/>
  <c r="Y87" i="7"/>
  <c r="Z87" i="7"/>
  <c r="AA87" i="7"/>
  <c r="AB87" i="7"/>
  <c r="AC87" i="7"/>
  <c r="AD87" i="7"/>
  <c r="AE87" i="7"/>
  <c r="AF87" i="7"/>
  <c r="AG87" i="7"/>
  <c r="AH87" i="7"/>
  <c r="AI87" i="7"/>
  <c r="U121" i="7" a="1"/>
  <c r="U121" i="7"/>
  <c r="V121" i="7" a="1"/>
  <c r="V121" i="7"/>
  <c r="W121" i="7" a="1"/>
  <c r="W121" i="7"/>
  <c r="X121" i="7" a="1"/>
  <c r="X121" i="7"/>
  <c r="Y121" i="7" a="1"/>
  <c r="Y121" i="7"/>
  <c r="Z121" i="7" a="1"/>
  <c r="Z121" i="7"/>
  <c r="AA121" i="7" a="1"/>
  <c r="AA121" i="7"/>
  <c r="AB121" i="7" a="1"/>
  <c r="AB121" i="7"/>
  <c r="AC121" i="7" a="1"/>
  <c r="AC121" i="7"/>
  <c r="AD121" i="7" a="1"/>
  <c r="AD121" i="7"/>
  <c r="AE121" i="7" a="1"/>
  <c r="AE121" i="7"/>
  <c r="AF121" i="7" a="1"/>
  <c r="AF121" i="7"/>
  <c r="AG121" i="7" a="1"/>
  <c r="AG121" i="7"/>
  <c r="AH121" i="7" a="1"/>
  <c r="AH121" i="7"/>
  <c r="AI121" i="7" a="1"/>
  <c r="AI121" i="7"/>
  <c r="U122" i="7" a="1"/>
  <c r="U122" i="7"/>
  <c r="V122" i="7" a="1"/>
  <c r="V122" i="7"/>
  <c r="W122" i="7" a="1"/>
  <c r="W122" i="7"/>
  <c r="X122" i="7" a="1"/>
  <c r="X122" i="7"/>
  <c r="Y122" i="7" a="1"/>
  <c r="Y122" i="7"/>
  <c r="Z122" i="7" a="1"/>
  <c r="Z122" i="7"/>
  <c r="AA122" i="7" a="1"/>
  <c r="AA122" i="7"/>
  <c r="AB122" i="7" a="1"/>
  <c r="AB122" i="7"/>
  <c r="AC122" i="7" a="1"/>
  <c r="AC122" i="7"/>
  <c r="AD122" i="7" a="1"/>
  <c r="AD122" i="7"/>
  <c r="AE122" i="7" a="1"/>
  <c r="AE122" i="7"/>
  <c r="AF122" i="7" a="1"/>
  <c r="AF122" i="7"/>
  <c r="AG122" i="7" a="1"/>
  <c r="AG122" i="7"/>
  <c r="AH122" i="7" a="1"/>
  <c r="AH122" i="7"/>
  <c r="AI122" i="7" a="1"/>
  <c r="AI122"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F120" i="7"/>
  <c r="F37" i="8"/>
  <c r="F46" i="9"/>
  <c r="F47" i="9"/>
  <c r="F45" i="9"/>
  <c r="F62" i="8"/>
  <c r="F63" i="8"/>
  <c r="F61" i="8"/>
  <c r="F57" i="8"/>
  <c r="F58" i="8"/>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E80" i="7"/>
  <c r="E46" i="11"/>
  <c r="H63" i="22"/>
  <c r="F63" i="22" a="1"/>
  <c r="F63" i="22"/>
  <c r="U86" i="7"/>
  <c r="V86" i="7"/>
  <c r="W86" i="7"/>
  <c r="X86" i="7"/>
  <c r="Y86" i="7"/>
  <c r="Z86" i="7"/>
  <c r="AA86" i="7"/>
  <c r="AB86" i="7"/>
  <c r="AC86" i="7"/>
  <c r="AD86" i="7"/>
  <c r="AE86" i="7"/>
  <c r="AF86" i="7"/>
  <c r="AG86" i="7"/>
  <c r="AH86" i="7"/>
  <c r="AI86"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F108" i="7"/>
  <c r="E48" i="11"/>
  <c r="H65" i="22"/>
  <c r="F65" i="22" a="1"/>
  <c r="F65" i="22"/>
  <c r="F11" i="8"/>
  <c r="F13" i="8"/>
  <c r="E121" i="19" a="1"/>
  <c r="E121" i="19"/>
  <c r="E121" i="20" a="1"/>
  <c r="E121" i="20"/>
  <c r="E121" i="21" a="1"/>
  <c r="E121" i="21"/>
  <c r="AI114" i="7"/>
  <c r="AI123" i="7"/>
  <c r="AI125" i="7" a="1"/>
  <c r="AI125" i="7"/>
  <c r="AB114" i="7"/>
  <c r="AB123" i="7"/>
  <c r="AB125" i="7" a="1"/>
  <c r="AB125" i="7"/>
  <c r="AA114" i="7"/>
  <c r="AA123" i="7"/>
  <c r="AA125" i="7" a="1"/>
  <c r="AA125" i="7"/>
  <c r="AH114" i="7"/>
  <c r="AH123" i="7"/>
  <c r="AH125" i="7" a="1"/>
  <c r="AH125" i="7"/>
  <c r="Z114" i="7"/>
  <c r="Z123" i="7"/>
  <c r="Z125" i="7" a="1"/>
  <c r="Z125" i="7"/>
  <c r="G88" i="7"/>
  <c r="O88" i="7"/>
  <c r="F88" i="7"/>
  <c r="H88" i="7"/>
  <c r="P88" i="7"/>
  <c r="I88" i="7"/>
  <c r="Q88" i="7"/>
  <c r="J88" i="7"/>
  <c r="R88" i="7"/>
  <c r="K88" i="7"/>
  <c r="S88" i="7"/>
  <c r="L88" i="7"/>
  <c r="T88" i="7"/>
  <c r="M88" i="7"/>
  <c r="N88" i="7"/>
  <c r="Y114" i="7"/>
  <c r="Y123" i="7"/>
  <c r="Y125" i="7" a="1"/>
  <c r="Y125" i="7"/>
  <c r="X114" i="7"/>
  <c r="X123" i="7"/>
  <c r="X125" i="7" a="1"/>
  <c r="X125" i="7"/>
  <c r="W114" i="7"/>
  <c r="W123" i="7"/>
  <c r="W125" i="7" a="1"/>
  <c r="W125" i="7"/>
  <c r="AF114" i="7"/>
  <c r="AF123" i="7"/>
  <c r="AF125" i="7" a="1"/>
  <c r="AF125" i="7"/>
  <c r="AE114" i="7"/>
  <c r="AE123" i="7"/>
  <c r="AE125" i="7" a="1"/>
  <c r="AE125" i="7"/>
  <c r="AD114" i="7"/>
  <c r="AD123" i="7"/>
  <c r="AD125" i="7" a="1"/>
  <c r="AD125" i="7"/>
  <c r="V114" i="7"/>
  <c r="V123" i="7"/>
  <c r="V125" i="7" a="1"/>
  <c r="V125" i="7"/>
  <c r="H87" i="7"/>
  <c r="P87" i="7"/>
  <c r="I87" i="7"/>
  <c r="Q87" i="7"/>
  <c r="G87" i="7"/>
  <c r="J87" i="7"/>
  <c r="R87" i="7"/>
  <c r="K87" i="7"/>
  <c r="S87" i="7"/>
  <c r="L87" i="7"/>
  <c r="T87" i="7"/>
  <c r="F87" i="7"/>
  <c r="M87" i="7"/>
  <c r="N87" i="7"/>
  <c r="O87" i="7"/>
  <c r="E121" i="7" a="1"/>
  <c r="E121" i="7"/>
  <c r="E126" i="7"/>
  <c r="AG114" i="7"/>
  <c r="AG123" i="7"/>
  <c r="AG125" i="7" a="1"/>
  <c r="AG125" i="7"/>
  <c r="AC114" i="7"/>
  <c r="AC123" i="7"/>
  <c r="AC125" i="7" a="1"/>
  <c r="AC125" i="7"/>
  <c r="U114" i="7"/>
  <c r="U123" i="7"/>
  <c r="U125" i="7" a="1"/>
  <c r="U125" i="7"/>
  <c r="F16" i="8"/>
  <c r="Q122" i="21" a="1"/>
  <c r="Q122" i="21"/>
  <c r="S122" i="21" a="1"/>
  <c r="S122" i="21"/>
  <c r="T121" i="21" a="1"/>
  <c r="T121" i="21"/>
  <c r="M122" i="21" a="1"/>
  <c r="M122" i="21"/>
  <c r="N121" i="21" a="1"/>
  <c r="N121" i="21"/>
  <c r="O122" i="21" a="1"/>
  <c r="O122" i="21"/>
  <c r="P121" i="21" a="1"/>
  <c r="P121" i="21"/>
  <c r="G122" i="21" a="1"/>
  <c r="G122" i="21"/>
  <c r="H121" i="21" a="1"/>
  <c r="H121" i="21"/>
  <c r="H124" i="21"/>
  <c r="H126" i="21"/>
  <c r="H127" i="21" a="1"/>
  <c r="H127" i="21"/>
  <c r="I122" i="21" a="1"/>
  <c r="I122" i="21"/>
  <c r="J121" i="21" a="1"/>
  <c r="J121" i="21"/>
  <c r="K122" i="21" a="1"/>
  <c r="K122" i="21"/>
  <c r="L121" i="21" a="1"/>
  <c r="L121" i="21"/>
  <c r="T122" i="21" a="1"/>
  <c r="T122" i="21"/>
  <c r="P122" i="21" a="1"/>
  <c r="P122" i="21"/>
  <c r="Q121" i="21" a="1"/>
  <c r="Q121" i="21"/>
  <c r="Q124" i="21"/>
  <c r="Q126" i="21"/>
  <c r="Q127" i="21" a="1"/>
  <c r="Q127" i="21"/>
  <c r="R122" i="21" a="1"/>
  <c r="R122" i="21"/>
  <c r="S121" i="21" a="1"/>
  <c r="S121" i="21"/>
  <c r="S124" i="21"/>
  <c r="S126" i="21"/>
  <c r="S127" i="21" a="1"/>
  <c r="S127" i="21"/>
  <c r="L122" i="21" a="1"/>
  <c r="L122" i="21"/>
  <c r="M121" i="21" a="1"/>
  <c r="M121" i="21"/>
  <c r="M124" i="21"/>
  <c r="M126" i="21"/>
  <c r="M127" i="21" a="1"/>
  <c r="M127" i="21"/>
  <c r="N122" i="21" a="1"/>
  <c r="N122" i="21"/>
  <c r="O121" i="21" a="1"/>
  <c r="O121" i="21"/>
  <c r="O124" i="21"/>
  <c r="O126" i="21"/>
  <c r="O127" i="21" a="1"/>
  <c r="O127" i="21"/>
  <c r="F121" i="21" a="1"/>
  <c r="F121" i="21"/>
  <c r="H122" i="21" a="1"/>
  <c r="H122" i="21"/>
  <c r="I121" i="21" a="1"/>
  <c r="I121" i="21"/>
  <c r="J122" i="21" a="1"/>
  <c r="J122" i="21"/>
  <c r="K121" i="21" a="1"/>
  <c r="K121" i="21"/>
  <c r="K124" i="21"/>
  <c r="K126" i="21"/>
  <c r="K127" i="21" a="1"/>
  <c r="K127" i="21"/>
  <c r="R121" i="21" a="1"/>
  <c r="R121" i="21"/>
  <c r="R124" i="21"/>
  <c r="R126" i="21"/>
  <c r="R127" i="21" a="1"/>
  <c r="R127" i="21"/>
  <c r="F122" i="21" a="1"/>
  <c r="F122" i="21"/>
  <c r="G121" i="21" a="1"/>
  <c r="G121" i="21"/>
  <c r="G124" i="21"/>
  <c r="G126" i="21"/>
  <c r="G127" i="21" a="1"/>
  <c r="G127" i="21"/>
  <c r="E126" i="21"/>
  <c r="T122" i="20" a="1"/>
  <c r="T122" i="20"/>
  <c r="J122" i="20" a="1"/>
  <c r="J122" i="20"/>
  <c r="K121" i="20" a="1"/>
  <c r="K121" i="20"/>
  <c r="P122" i="20" a="1"/>
  <c r="P122" i="20"/>
  <c r="Q121" i="20" a="1"/>
  <c r="Q121" i="20"/>
  <c r="F122" i="20" a="1"/>
  <c r="F122" i="20"/>
  <c r="G121" i="20" a="1"/>
  <c r="G121" i="20"/>
  <c r="L122" i="20" a="1"/>
  <c r="L122" i="20"/>
  <c r="M121" i="20" a="1"/>
  <c r="M121" i="20"/>
  <c r="H122" i="20" a="1"/>
  <c r="H122" i="20"/>
  <c r="I121" i="20" a="1"/>
  <c r="I121" i="20"/>
  <c r="I122" i="20" a="1"/>
  <c r="I122" i="20"/>
  <c r="J121" i="20" a="1"/>
  <c r="J121" i="20"/>
  <c r="F121" i="20" a="1"/>
  <c r="F121" i="20"/>
  <c r="N122" i="20" a="1"/>
  <c r="N122" i="20"/>
  <c r="O121" i="20" a="1"/>
  <c r="O121" i="20"/>
  <c r="O124" i="20"/>
  <c r="O126" i="20"/>
  <c r="O127" i="20" a="1"/>
  <c r="O127" i="20"/>
  <c r="S122" i="20" a="1"/>
  <c r="S122" i="20"/>
  <c r="T121" i="20" a="1"/>
  <c r="T121" i="20"/>
  <c r="O122" i="20" a="1"/>
  <c r="O122" i="20"/>
  <c r="P121" i="20" a="1"/>
  <c r="P121" i="20"/>
  <c r="E126" i="20"/>
  <c r="K122" i="20" a="1"/>
  <c r="K122" i="20"/>
  <c r="L121" i="20" a="1"/>
  <c r="L121" i="20"/>
  <c r="L124" i="20"/>
  <c r="L126" i="20"/>
  <c r="L127" i="20" a="1"/>
  <c r="L127" i="20"/>
  <c r="Q122" i="20" a="1"/>
  <c r="Q122" i="20"/>
  <c r="R121" i="20" a="1"/>
  <c r="R121" i="20"/>
  <c r="G122" i="20" a="1"/>
  <c r="G122" i="20"/>
  <c r="H121" i="20" a="1"/>
  <c r="H121" i="20"/>
  <c r="M122" i="20" a="1"/>
  <c r="M122" i="20"/>
  <c r="N121" i="20" a="1"/>
  <c r="N121" i="20"/>
  <c r="R122" i="20" a="1"/>
  <c r="R122" i="20"/>
  <c r="S121" i="20" a="1"/>
  <c r="S121" i="20"/>
  <c r="S124" i="20"/>
  <c r="S126" i="20"/>
  <c r="S127" i="20" a="1"/>
  <c r="S127" i="20"/>
  <c r="AB127" i="19" a="1"/>
  <c r="AB127" i="19"/>
  <c r="AA127" i="19" a="1"/>
  <c r="AA127" i="19"/>
  <c r="AG127" i="21" a="1"/>
  <c r="AG127" i="21"/>
  <c r="AF127" i="21" a="1"/>
  <c r="AF127" i="21"/>
  <c r="AI127" i="21" a="1"/>
  <c r="AI127" i="21"/>
  <c r="AH127" i="21" a="1"/>
  <c r="AH127" i="21"/>
  <c r="AI127" i="20" a="1"/>
  <c r="AI127" i="20"/>
  <c r="W127" i="21" a="1"/>
  <c r="W127" i="21"/>
  <c r="X127" i="21" a="1"/>
  <c r="X127" i="21"/>
  <c r="U127" i="21" a="1"/>
  <c r="U127" i="21"/>
  <c r="AG127" i="20" a="1"/>
  <c r="AG127" i="20"/>
  <c r="AA127" i="21" a="1"/>
  <c r="AA127" i="21"/>
  <c r="AF127" i="20" a="1"/>
  <c r="AF127" i="20"/>
  <c r="AE127" i="21" a="1"/>
  <c r="AE127" i="21"/>
  <c r="AH127" i="20" a="1"/>
  <c r="AH127" i="20"/>
  <c r="AC127" i="21" a="1"/>
  <c r="AC127" i="21"/>
  <c r="Z127" i="19" a="1"/>
  <c r="Z127" i="19"/>
  <c r="Z127" i="21" a="1"/>
  <c r="Z127" i="21"/>
  <c r="AD127" i="21" a="1"/>
  <c r="AD127" i="21"/>
  <c r="AB127" i="21" a="1"/>
  <c r="AB127" i="21"/>
  <c r="V127" i="21" a="1"/>
  <c r="V127" i="21"/>
  <c r="AI127" i="19" a="1"/>
  <c r="AI127" i="19"/>
  <c r="AC127" i="20" a="1"/>
  <c r="AC127" i="20"/>
  <c r="X127" i="20" a="1"/>
  <c r="X127" i="20"/>
  <c r="Y127" i="21" a="1"/>
  <c r="Y127" i="21"/>
  <c r="Y127" i="20" a="1"/>
  <c r="Y127" i="20"/>
  <c r="Y127" i="19" a="1"/>
  <c r="Y127" i="19"/>
  <c r="AG127" i="19" a="1"/>
  <c r="AG127" i="19"/>
  <c r="U127" i="20" a="1"/>
  <c r="U127" i="20"/>
  <c r="AH127" i="19" a="1"/>
  <c r="AH127" i="19"/>
  <c r="W127" i="19" a="1"/>
  <c r="W127" i="19"/>
  <c r="V127" i="20" a="1"/>
  <c r="V127" i="20"/>
  <c r="AF127" i="19" a="1"/>
  <c r="AF127" i="19"/>
  <c r="Z127" i="20" a="1"/>
  <c r="Z127" i="20"/>
  <c r="AC127" i="19" a="1"/>
  <c r="AC127" i="19"/>
  <c r="V127" i="19" a="1"/>
  <c r="V127" i="19"/>
  <c r="AE127" i="20" a="1"/>
  <c r="AE127" i="20"/>
  <c r="AD127" i="20" a="1"/>
  <c r="AD127" i="20"/>
  <c r="AA127" i="20" a="1"/>
  <c r="AA127" i="20"/>
  <c r="U127" i="19" a="1"/>
  <c r="U127" i="19"/>
  <c r="AE127" i="19" a="1"/>
  <c r="AE127" i="19"/>
  <c r="AD127" i="19" a="1"/>
  <c r="AD127" i="19"/>
  <c r="W127" i="20" a="1"/>
  <c r="W127" i="20"/>
  <c r="AB127" i="20" a="1"/>
  <c r="AB127" i="20"/>
  <c r="X127" i="19" a="1"/>
  <c r="X127" i="19"/>
  <c r="Q122" i="19" a="1"/>
  <c r="Q122" i="19"/>
  <c r="R121" i="19" a="1"/>
  <c r="R121" i="19"/>
  <c r="F122" i="19" a="1"/>
  <c r="F122" i="19"/>
  <c r="G121" i="19" a="1"/>
  <c r="G121" i="19"/>
  <c r="I122" i="19" a="1"/>
  <c r="I122" i="19"/>
  <c r="J121" i="19" a="1"/>
  <c r="J121" i="19"/>
  <c r="O122" i="19" a="1"/>
  <c r="O122" i="19"/>
  <c r="P121" i="19" a="1"/>
  <c r="P121" i="19"/>
  <c r="T122" i="19" a="1"/>
  <c r="T122" i="19"/>
  <c r="M122" i="19" a="1"/>
  <c r="M122" i="19"/>
  <c r="N121" i="19" a="1"/>
  <c r="N121" i="19"/>
  <c r="S122" i="19" a="1"/>
  <c r="S122" i="19"/>
  <c r="T121" i="19" a="1"/>
  <c r="T121" i="19"/>
  <c r="K122" i="19" a="1"/>
  <c r="K122" i="19"/>
  <c r="L121" i="19" a="1"/>
  <c r="L121" i="19"/>
  <c r="J122" i="19" a="1"/>
  <c r="J122" i="19"/>
  <c r="K121" i="19" a="1"/>
  <c r="K121" i="19"/>
  <c r="K124" i="19"/>
  <c r="K126" i="19"/>
  <c r="K127" i="19" a="1"/>
  <c r="K127" i="19"/>
  <c r="E126" i="19"/>
  <c r="P122" i="19" a="1"/>
  <c r="P122" i="19"/>
  <c r="Q121" i="19" a="1"/>
  <c r="Q121" i="19"/>
  <c r="L122" i="19" a="1"/>
  <c r="L122" i="19"/>
  <c r="M121" i="19" a="1"/>
  <c r="M121" i="19"/>
  <c r="R122" i="19" a="1"/>
  <c r="R122" i="19"/>
  <c r="S121" i="19" a="1"/>
  <c r="S121" i="19"/>
  <c r="G122" i="19" a="1"/>
  <c r="G122" i="19"/>
  <c r="H121" i="19" a="1"/>
  <c r="H121" i="19"/>
  <c r="H122" i="19" a="1"/>
  <c r="H122" i="19"/>
  <c r="I121" i="19" a="1"/>
  <c r="I121" i="19"/>
  <c r="F121" i="19" a="1"/>
  <c r="F121" i="19"/>
  <c r="N122" i="19" a="1"/>
  <c r="N122" i="19"/>
  <c r="O121" i="19" a="1"/>
  <c r="O121" i="19"/>
  <c r="O124" i="19"/>
  <c r="O126" i="19"/>
  <c r="O127" i="19" a="1"/>
  <c r="O127" i="19"/>
  <c r="AI124" i="7"/>
  <c r="AI126" i="7"/>
  <c r="AI127" i="7" a="1"/>
  <c r="AI127" i="7"/>
  <c r="AB124" i="7"/>
  <c r="AB126" i="7"/>
  <c r="AB127" i="7" a="1"/>
  <c r="AB127" i="7"/>
  <c r="Z124" i="7"/>
  <c r="Z126" i="7"/>
  <c r="Z127" i="7" a="1"/>
  <c r="Z127" i="7"/>
  <c r="AE124" i="7"/>
  <c r="AE126" i="7"/>
  <c r="AE127" i="7" a="1"/>
  <c r="AE127" i="7"/>
  <c r="AA124" i="7"/>
  <c r="AA126" i="7"/>
  <c r="AA127" i="7" a="1"/>
  <c r="AA127" i="7"/>
  <c r="AF124" i="7"/>
  <c r="AF126" i="7"/>
  <c r="AF127" i="7" a="1"/>
  <c r="AF127" i="7"/>
  <c r="AH124" i="7"/>
  <c r="AH126" i="7"/>
  <c r="AH127" i="7" a="1"/>
  <c r="AH127" i="7"/>
  <c r="V124" i="7"/>
  <c r="V126" i="7"/>
  <c r="V127" i="7" a="1"/>
  <c r="V127" i="7"/>
  <c r="F86" i="7"/>
  <c r="D139" i="7"/>
  <c r="M90" i="7"/>
  <c r="M86" i="7"/>
  <c r="M114" i="7"/>
  <c r="M123" i="7"/>
  <c r="M125" i="7" a="1"/>
  <c r="M125" i="7"/>
  <c r="N90" i="7"/>
  <c r="N86" i="7"/>
  <c r="N114" i="7"/>
  <c r="N123" i="7"/>
  <c r="N125" i="7" a="1"/>
  <c r="N125" i="7"/>
  <c r="R90" i="7"/>
  <c r="R86" i="7"/>
  <c r="R114" i="7"/>
  <c r="R123" i="7"/>
  <c r="R125" i="7" a="1"/>
  <c r="R125" i="7"/>
  <c r="L90" i="7"/>
  <c r="L86" i="7"/>
  <c r="L114" i="7"/>
  <c r="L123" i="7"/>
  <c r="L125" i="7" a="1"/>
  <c r="L125" i="7"/>
  <c r="S90" i="7"/>
  <c r="S86" i="7"/>
  <c r="S114" i="7"/>
  <c r="S123" i="7"/>
  <c r="S125" i="7" a="1"/>
  <c r="S125" i="7"/>
  <c r="J90" i="7"/>
  <c r="J86" i="7"/>
  <c r="J114" i="7"/>
  <c r="J123" i="7"/>
  <c r="J125" i="7" a="1"/>
  <c r="J125" i="7"/>
  <c r="T90" i="7"/>
  <c r="T86" i="7"/>
  <c r="T114" i="7"/>
  <c r="T123" i="7"/>
  <c r="T125" i="7" a="1"/>
  <c r="T125" i="7"/>
  <c r="K90" i="7"/>
  <c r="K86" i="7"/>
  <c r="K114" i="7"/>
  <c r="K123" i="7"/>
  <c r="K125" i="7" a="1"/>
  <c r="K125" i="7"/>
  <c r="Q90" i="7"/>
  <c r="Q86" i="7"/>
  <c r="Q114" i="7"/>
  <c r="Q123" i="7"/>
  <c r="Q125" i="7" a="1"/>
  <c r="Q125" i="7"/>
  <c r="I90" i="7"/>
  <c r="I86" i="7"/>
  <c r="I114" i="7"/>
  <c r="I123" i="7"/>
  <c r="I125" i="7" a="1"/>
  <c r="I125" i="7"/>
  <c r="P90" i="7"/>
  <c r="P86" i="7"/>
  <c r="P114" i="7"/>
  <c r="P123" i="7"/>
  <c r="P125" i="7" a="1"/>
  <c r="P125" i="7"/>
  <c r="H90" i="7"/>
  <c r="H86" i="7"/>
  <c r="H114" i="7"/>
  <c r="H123" i="7"/>
  <c r="H125" i="7" a="1"/>
  <c r="H125" i="7"/>
  <c r="O90" i="7"/>
  <c r="O86" i="7"/>
  <c r="O114" i="7"/>
  <c r="O123" i="7"/>
  <c r="O125" i="7" a="1"/>
  <c r="O125" i="7"/>
  <c r="G90" i="7"/>
  <c r="G86" i="7"/>
  <c r="G114" i="7"/>
  <c r="G123" i="7"/>
  <c r="G125" i="7" a="1"/>
  <c r="G125" i="7"/>
  <c r="AD124" i="7"/>
  <c r="AD126" i="7"/>
  <c r="AD127" i="7" a="1"/>
  <c r="AD127" i="7"/>
  <c r="Y124" i="7"/>
  <c r="Y126" i="7"/>
  <c r="Y127" i="7" a="1"/>
  <c r="Y127" i="7"/>
  <c r="AG124" i="7"/>
  <c r="AG126" i="7"/>
  <c r="AG127" i="7" a="1"/>
  <c r="AG127" i="7"/>
  <c r="W124" i="7"/>
  <c r="W126" i="7"/>
  <c r="W127" i="7" a="1"/>
  <c r="W127" i="7"/>
  <c r="U124" i="7"/>
  <c r="U126" i="7"/>
  <c r="U127" i="7" a="1"/>
  <c r="U127" i="7"/>
  <c r="AC124" i="7"/>
  <c r="AC126" i="7"/>
  <c r="AC127" i="7" a="1"/>
  <c r="AC127" i="7"/>
  <c r="X124" i="7"/>
  <c r="X126" i="7"/>
  <c r="X127" i="7" a="1"/>
  <c r="X127" i="7"/>
  <c r="J122" i="7" a="1"/>
  <c r="J122" i="7"/>
  <c r="K121" i="7" a="1"/>
  <c r="K121" i="7"/>
  <c r="R122" i="7" a="1"/>
  <c r="R122" i="7"/>
  <c r="S121" i="7" a="1"/>
  <c r="S121" i="7"/>
  <c r="G122" i="7" a="1"/>
  <c r="G122" i="7"/>
  <c r="H121" i="7" a="1"/>
  <c r="H121" i="7"/>
  <c r="K122" i="7" a="1"/>
  <c r="K122" i="7"/>
  <c r="L121" i="7" a="1"/>
  <c r="L121" i="7"/>
  <c r="S122" i="7" a="1"/>
  <c r="S122" i="7"/>
  <c r="T121" i="7" a="1"/>
  <c r="T121" i="7"/>
  <c r="L122" i="7" a="1"/>
  <c r="L122" i="7"/>
  <c r="M121" i="7" a="1"/>
  <c r="M121" i="7"/>
  <c r="T122" i="7" a="1"/>
  <c r="T122" i="7"/>
  <c r="M122" i="7" a="1"/>
  <c r="M122" i="7"/>
  <c r="N121" i="7" a="1"/>
  <c r="N121" i="7"/>
  <c r="N122" i="7" a="1"/>
  <c r="N122" i="7"/>
  <c r="O121" i="7" a="1"/>
  <c r="O121" i="7"/>
  <c r="O122" i="7" a="1"/>
  <c r="O122" i="7"/>
  <c r="P121" i="7" a="1"/>
  <c r="P121" i="7"/>
  <c r="F122" i="7" a="1"/>
  <c r="F122" i="7"/>
  <c r="G121" i="7" a="1"/>
  <c r="G121" i="7"/>
  <c r="Q122" i="7" a="1"/>
  <c r="Q122" i="7"/>
  <c r="R121" i="7" a="1"/>
  <c r="R121" i="7"/>
  <c r="H122" i="7" a="1"/>
  <c r="H122" i="7"/>
  <c r="I121" i="7" a="1"/>
  <c r="I121" i="7"/>
  <c r="P122" i="7" a="1"/>
  <c r="P122" i="7"/>
  <c r="Q121" i="7" a="1"/>
  <c r="Q121" i="7"/>
  <c r="F121" i="7" a="1"/>
  <c r="F121" i="7"/>
  <c r="I122" i="7" a="1"/>
  <c r="I122" i="7"/>
  <c r="J121" i="7" a="1"/>
  <c r="J121" i="7"/>
  <c r="H124" i="20"/>
  <c r="H126" i="20"/>
  <c r="H127" i="20" a="1"/>
  <c r="H127" i="20"/>
  <c r="J124" i="20"/>
  <c r="J126" i="20"/>
  <c r="J127" i="20" a="1"/>
  <c r="J127" i="20"/>
  <c r="F124" i="20"/>
  <c r="F126" i="20"/>
  <c r="F127" i="20" a="1"/>
  <c r="F127" i="20"/>
  <c r="F129" i="20"/>
  <c r="L124" i="19"/>
  <c r="L126" i="19"/>
  <c r="L127" i="19" a="1"/>
  <c r="L127" i="19"/>
  <c r="H124" i="19"/>
  <c r="H126" i="19"/>
  <c r="H127" i="19" a="1"/>
  <c r="H127" i="19"/>
  <c r="N124" i="19"/>
  <c r="N126" i="19"/>
  <c r="N127" i="19" a="1"/>
  <c r="N127" i="19"/>
  <c r="Q124" i="19"/>
  <c r="Q126" i="19"/>
  <c r="Q127" i="19" a="1"/>
  <c r="Q127" i="19"/>
  <c r="T124" i="20"/>
  <c r="T126" i="20"/>
  <c r="T127" i="20" a="1"/>
  <c r="T127" i="20"/>
  <c r="L124" i="21"/>
  <c r="L126" i="21"/>
  <c r="L127" i="21" a="1"/>
  <c r="L127" i="21"/>
  <c r="M124" i="19"/>
  <c r="M126" i="19"/>
  <c r="M127" i="19" a="1"/>
  <c r="M127" i="19"/>
  <c r="G124" i="19"/>
  <c r="G126" i="19"/>
  <c r="G127" i="19" a="1"/>
  <c r="G127" i="19"/>
  <c r="P124" i="21"/>
  <c r="P126" i="21"/>
  <c r="P127" i="21" a="1"/>
  <c r="P127" i="21"/>
  <c r="R124" i="20"/>
  <c r="R126" i="20"/>
  <c r="R127" i="20" a="1"/>
  <c r="R127" i="20"/>
  <c r="I124" i="19"/>
  <c r="I126" i="19"/>
  <c r="I127" i="19" a="1"/>
  <c r="I127" i="19"/>
  <c r="S124" i="19"/>
  <c r="S126" i="19"/>
  <c r="S127" i="19" a="1"/>
  <c r="S127" i="19"/>
  <c r="I124" i="21"/>
  <c r="I126" i="21"/>
  <c r="I127" i="21" a="1"/>
  <c r="I127" i="21"/>
  <c r="F124" i="19"/>
  <c r="F126" i="19"/>
  <c r="F128" i="19"/>
  <c r="J124" i="21"/>
  <c r="J126" i="21"/>
  <c r="J127" i="21" a="1"/>
  <c r="J127" i="21"/>
  <c r="P124" i="19"/>
  <c r="P126" i="19"/>
  <c r="P127" i="19" a="1"/>
  <c r="P127" i="19"/>
  <c r="J124" i="19"/>
  <c r="J126" i="19"/>
  <c r="J127" i="19" a="1"/>
  <c r="J127" i="19"/>
  <c r="R124" i="19"/>
  <c r="R126" i="19"/>
  <c r="R127" i="19" a="1"/>
  <c r="R127" i="19"/>
  <c r="I124" i="20"/>
  <c r="I126" i="20"/>
  <c r="I127" i="20" a="1"/>
  <c r="I127" i="20"/>
  <c r="N124" i="20"/>
  <c r="N126" i="20"/>
  <c r="N127" i="20" a="1"/>
  <c r="N127" i="20"/>
  <c r="M124" i="20"/>
  <c r="M126" i="20"/>
  <c r="M127" i="20" a="1"/>
  <c r="M127" i="20"/>
  <c r="F124" i="21"/>
  <c r="F126" i="21"/>
  <c r="F128" i="21"/>
  <c r="G124" i="20"/>
  <c r="G126" i="20"/>
  <c r="Q124" i="20"/>
  <c r="Q126" i="20"/>
  <c r="Q127" i="20" a="1"/>
  <c r="Q127" i="20"/>
  <c r="T124" i="19"/>
  <c r="T126" i="19"/>
  <c r="T127" i="19" a="1"/>
  <c r="T127" i="19"/>
  <c r="K124" i="20"/>
  <c r="K126" i="20"/>
  <c r="K127" i="20" a="1"/>
  <c r="K127" i="20"/>
  <c r="N124" i="21"/>
  <c r="N126" i="21"/>
  <c r="N127" i="21" a="1"/>
  <c r="N127" i="21"/>
  <c r="T124" i="21"/>
  <c r="T126" i="21"/>
  <c r="T127" i="21" a="1"/>
  <c r="T127" i="21"/>
  <c r="P124" i="20"/>
  <c r="P126" i="20"/>
  <c r="P127" i="20" a="1"/>
  <c r="P127" i="20"/>
  <c r="E53" i="11"/>
  <c r="H70" i="22"/>
  <c r="F70" i="22" a="1"/>
  <c r="F70" i="22"/>
  <c r="K43" i="22"/>
  <c r="K51" i="22"/>
  <c r="E47" i="11"/>
  <c r="H64" i="22"/>
  <c r="F64" i="22" a="1"/>
  <c r="F64" i="22"/>
  <c r="M124" i="7"/>
  <c r="M126" i="7"/>
  <c r="M127" i="7" a="1"/>
  <c r="M127" i="7"/>
  <c r="G124" i="7"/>
  <c r="G126" i="7"/>
  <c r="G127" i="7" a="1"/>
  <c r="G127" i="7"/>
  <c r="J124" i="7"/>
  <c r="J126" i="7"/>
  <c r="J127" i="7" a="1"/>
  <c r="J127" i="7"/>
  <c r="F114" i="7"/>
  <c r="F123" i="7"/>
  <c r="F125" i="7" a="1"/>
  <c r="F125" i="7"/>
  <c r="S124" i="7"/>
  <c r="S126" i="7"/>
  <c r="S127" i="7" a="1"/>
  <c r="S127" i="7"/>
  <c r="I124" i="7"/>
  <c r="I126" i="7"/>
  <c r="I127" i="7" a="1"/>
  <c r="I127" i="7"/>
  <c r="R124" i="7"/>
  <c r="R126" i="7"/>
  <c r="R127" i="7" a="1"/>
  <c r="R127" i="7"/>
  <c r="K124" i="7"/>
  <c r="K126" i="7"/>
  <c r="K127" i="7" a="1"/>
  <c r="K127" i="7"/>
  <c r="T124" i="7"/>
  <c r="T126" i="7"/>
  <c r="T127" i="7" a="1"/>
  <c r="T127" i="7"/>
  <c r="L124" i="7"/>
  <c r="L126" i="7"/>
  <c r="L127" i="7" a="1"/>
  <c r="L127" i="7"/>
  <c r="H124" i="7"/>
  <c r="H126" i="7"/>
  <c r="H127" i="7" a="1"/>
  <c r="H127" i="7"/>
  <c r="P124" i="7"/>
  <c r="P126" i="7"/>
  <c r="P127" i="7" a="1"/>
  <c r="P127" i="7"/>
  <c r="O124" i="7"/>
  <c r="O126" i="7"/>
  <c r="O127" i="7" a="1"/>
  <c r="O127" i="7"/>
  <c r="N124" i="7"/>
  <c r="N126" i="7"/>
  <c r="N127" i="7" a="1"/>
  <c r="N127" i="7"/>
  <c r="Q124" i="7"/>
  <c r="Q126" i="7"/>
  <c r="Q127" i="7" a="1"/>
  <c r="Q127" i="7"/>
  <c r="F128" i="20"/>
  <c r="D136" i="20"/>
  <c r="G50" i="11"/>
  <c r="J67" i="22"/>
  <c r="D136" i="19"/>
  <c r="F50" i="11"/>
  <c r="I67" i="22"/>
  <c r="G128" i="19"/>
  <c r="F130" i="19"/>
  <c r="F131" i="20"/>
  <c r="F130" i="20"/>
  <c r="G128" i="20"/>
  <c r="F130" i="21"/>
  <c r="G128" i="21"/>
  <c r="G127" i="20" a="1"/>
  <c r="G127" i="20"/>
  <c r="G129" i="20"/>
  <c r="D135" i="20" a="1"/>
  <c r="D135" i="20"/>
  <c r="G49" i="11"/>
  <c r="J66" i="22"/>
  <c r="D136" i="21"/>
  <c r="H50" i="11"/>
  <c r="F127" i="21" a="1"/>
  <c r="F127" i="21"/>
  <c r="F129" i="21"/>
  <c r="D135" i="21" a="1"/>
  <c r="D135" i="21"/>
  <c r="H49" i="11"/>
  <c r="F127" i="19" a="1"/>
  <c r="F127" i="19"/>
  <c r="F129" i="19"/>
  <c r="D135" i="19" a="1"/>
  <c r="D135" i="19"/>
  <c r="F49" i="11"/>
  <c r="I66" i="22"/>
  <c r="F124" i="7"/>
  <c r="F126" i="7"/>
  <c r="F128" i="7"/>
  <c r="G128" i="7"/>
  <c r="G130" i="7"/>
  <c r="D135" i="7"/>
  <c r="E49" i="11"/>
  <c r="H66" i="22"/>
  <c r="F66" i="22" a="1"/>
  <c r="F66" i="22"/>
  <c r="D136" i="7"/>
  <c r="E50" i="11"/>
  <c r="H67" i="22"/>
  <c r="F67" i="22" a="1"/>
  <c r="F67" i="22"/>
  <c r="D43" i="22"/>
  <c r="D51" i="22"/>
  <c r="G131" i="20"/>
  <c r="H129" i="20"/>
  <c r="G129" i="21"/>
  <c r="F131" i="21"/>
  <c r="G130" i="20"/>
  <c r="H128" i="20"/>
  <c r="G130" i="21"/>
  <c r="H128" i="21"/>
  <c r="G129" i="19"/>
  <c r="F131" i="19"/>
  <c r="G130" i="19"/>
  <c r="H128" i="19"/>
  <c r="F127" i="7" a="1"/>
  <c r="F127" i="7"/>
  <c r="F129" i="7"/>
  <c r="F131" i="7"/>
  <c r="H128" i="7"/>
  <c r="H130" i="7"/>
  <c r="F130" i="7"/>
  <c r="I128" i="19"/>
  <c r="H130" i="19"/>
  <c r="I128" i="20"/>
  <c r="H130" i="20"/>
  <c r="H130" i="21"/>
  <c r="I128" i="21"/>
  <c r="H129" i="21"/>
  <c r="G131" i="21"/>
  <c r="H131" i="20"/>
  <c r="I129" i="20"/>
  <c r="H129" i="19"/>
  <c r="G131" i="19"/>
  <c r="G129" i="7"/>
  <c r="H129" i="7"/>
  <c r="I129" i="7"/>
  <c r="J129" i="7"/>
  <c r="I128" i="7"/>
  <c r="J128" i="7"/>
  <c r="I129" i="19"/>
  <c r="H131" i="19"/>
  <c r="I131" i="20"/>
  <c r="J129" i="20"/>
  <c r="H131" i="21"/>
  <c r="I129" i="21"/>
  <c r="I130" i="21"/>
  <c r="J128" i="21"/>
  <c r="J128" i="20"/>
  <c r="I130" i="20"/>
  <c r="J128" i="19"/>
  <c r="I130" i="19"/>
  <c r="I131" i="7"/>
  <c r="G131" i="7"/>
  <c r="H131" i="7"/>
  <c r="I130" i="7"/>
  <c r="K129" i="7"/>
  <c r="J131" i="7"/>
  <c r="K128" i="7"/>
  <c r="J130" i="7"/>
  <c r="J131" i="20"/>
  <c r="K129" i="20"/>
  <c r="J130" i="19"/>
  <c r="K128" i="19"/>
  <c r="K128" i="21"/>
  <c r="J130" i="21"/>
  <c r="K128" i="20"/>
  <c r="J130" i="20"/>
  <c r="I131" i="21"/>
  <c r="J129" i="21"/>
  <c r="I131" i="19"/>
  <c r="J129" i="19"/>
  <c r="L128" i="7"/>
  <c r="K130" i="7"/>
  <c r="K131" i="7"/>
  <c r="L129" i="7"/>
  <c r="J131" i="21"/>
  <c r="K129" i="21"/>
  <c r="L128" i="21"/>
  <c r="K130" i="21"/>
  <c r="J131" i="19"/>
  <c r="K129" i="19"/>
  <c r="L128" i="20"/>
  <c r="K130" i="20"/>
  <c r="L128" i="19"/>
  <c r="K130" i="19"/>
  <c r="K131" i="20"/>
  <c r="L129" i="20"/>
  <c r="M129" i="7"/>
  <c r="L131" i="7"/>
  <c r="L130" i="7"/>
  <c r="M128" i="7"/>
  <c r="M129" i="20"/>
  <c r="L131" i="20"/>
  <c r="K131" i="19"/>
  <c r="L129" i="19"/>
  <c r="K131" i="21"/>
  <c r="L129" i="21"/>
  <c r="M128" i="19"/>
  <c r="L130" i="19"/>
  <c r="M128" i="20"/>
  <c r="L130" i="20"/>
  <c r="M128" i="21"/>
  <c r="L130" i="21"/>
  <c r="N128" i="7"/>
  <c r="M130" i="7"/>
  <c r="M131" i="7"/>
  <c r="N129" i="7"/>
  <c r="M130" i="21"/>
  <c r="N128" i="21"/>
  <c r="M130" i="20"/>
  <c r="N128" i="20"/>
  <c r="M130" i="19"/>
  <c r="N128" i="19"/>
  <c r="L131" i="21"/>
  <c r="M129" i="21"/>
  <c r="M129" i="19"/>
  <c r="L131" i="19"/>
  <c r="M131" i="20"/>
  <c r="N129" i="20"/>
  <c r="O129" i="7"/>
  <c r="N131" i="7"/>
  <c r="N130" i="7"/>
  <c r="O128" i="7"/>
  <c r="O128" i="19"/>
  <c r="N130" i="19"/>
  <c r="O129" i="20"/>
  <c r="N131" i="20"/>
  <c r="N129" i="19"/>
  <c r="M131" i="19"/>
  <c r="N129" i="21"/>
  <c r="M131" i="21"/>
  <c r="O128" i="20"/>
  <c r="N130" i="20"/>
  <c r="N130" i="21"/>
  <c r="O128" i="21"/>
  <c r="P128" i="7"/>
  <c r="O130" i="7"/>
  <c r="P129" i="7"/>
  <c r="O131" i="7"/>
  <c r="P128" i="21"/>
  <c r="O130" i="21"/>
  <c r="O129" i="19"/>
  <c r="N131" i="19"/>
  <c r="N131" i="21"/>
  <c r="O129" i="21"/>
  <c r="O130" i="20"/>
  <c r="P128" i="20"/>
  <c r="O131" i="20"/>
  <c r="P129" i="20"/>
  <c r="O130" i="19"/>
  <c r="P128" i="19"/>
  <c r="P131" i="7"/>
  <c r="Q129" i="7"/>
  <c r="P130" i="7"/>
  <c r="Q128" i="7"/>
  <c r="Q129" i="20"/>
  <c r="P131" i="20"/>
  <c r="P129" i="19"/>
  <c r="O131" i="19"/>
  <c r="P130" i="19"/>
  <c r="Q128" i="19"/>
  <c r="O131" i="21"/>
  <c r="P129" i="21"/>
  <c r="P130" i="20"/>
  <c r="Q128" i="20"/>
  <c r="P130" i="21"/>
  <c r="Q128" i="21"/>
  <c r="Q130" i="7"/>
  <c r="R128" i="7"/>
  <c r="R129" i="7"/>
  <c r="Q131" i="7"/>
  <c r="P131" i="21"/>
  <c r="Q129" i="21"/>
  <c r="Q130" i="21"/>
  <c r="R128" i="21"/>
  <c r="Q130" i="19"/>
  <c r="R128" i="19"/>
  <c r="Q130" i="20"/>
  <c r="R128" i="20"/>
  <c r="P131" i="19"/>
  <c r="Q129" i="19"/>
  <c r="Q131" i="20"/>
  <c r="R129" i="20"/>
  <c r="R131" i="7"/>
  <c r="S129" i="7"/>
  <c r="R130" i="7"/>
  <c r="S128" i="7"/>
  <c r="S128" i="19"/>
  <c r="R130" i="19"/>
  <c r="R131" i="20"/>
  <c r="S129" i="20"/>
  <c r="R129" i="19"/>
  <c r="Q131" i="19"/>
  <c r="S128" i="20"/>
  <c r="R130" i="20"/>
  <c r="S128" i="21"/>
  <c r="R130" i="21"/>
  <c r="Q131" i="21"/>
  <c r="R129" i="21"/>
  <c r="T128" i="7"/>
  <c r="S130" i="7"/>
  <c r="S131" i="7"/>
  <c r="T129" i="7"/>
  <c r="T128" i="20"/>
  <c r="S130" i="20"/>
  <c r="R131" i="21"/>
  <c r="S129" i="21"/>
  <c r="T128" i="21"/>
  <c r="S130" i="21"/>
  <c r="S129" i="19"/>
  <c r="R131" i="19"/>
  <c r="T129" i="20"/>
  <c r="S131" i="20"/>
  <c r="T128" i="19"/>
  <c r="S130" i="19"/>
  <c r="T131" i="7"/>
  <c r="U129" i="7"/>
  <c r="T130" i="7"/>
  <c r="U128" i="7"/>
  <c r="U128" i="19"/>
  <c r="T130" i="19"/>
  <c r="S131" i="19"/>
  <c r="T129" i="19"/>
  <c r="T131" i="20"/>
  <c r="U129" i="20"/>
  <c r="U128" i="21"/>
  <c r="T130" i="21"/>
  <c r="S131" i="21"/>
  <c r="T129" i="21"/>
  <c r="T130" i="20"/>
  <c r="U128" i="20"/>
  <c r="U130" i="7"/>
  <c r="V128" i="7"/>
  <c r="U131" i="7"/>
  <c r="V129" i="7"/>
  <c r="V128" i="21"/>
  <c r="U130" i="21"/>
  <c r="T131" i="19"/>
  <c r="U129" i="19"/>
  <c r="T131" i="21"/>
  <c r="U129" i="21"/>
  <c r="V129" i="20"/>
  <c r="U131" i="20"/>
  <c r="V128" i="20"/>
  <c r="U130" i="20"/>
  <c r="U130" i="19"/>
  <c r="V128" i="19"/>
  <c r="W129" i="7"/>
  <c r="V131" i="7"/>
  <c r="W128" i="7"/>
  <c r="V130" i="7"/>
  <c r="W128" i="19"/>
  <c r="V130" i="19"/>
  <c r="V129" i="19"/>
  <c r="U131" i="19"/>
  <c r="V130" i="20"/>
  <c r="W128" i="20"/>
  <c r="V129" i="21"/>
  <c r="U131" i="21"/>
  <c r="W129" i="20"/>
  <c r="V131" i="20"/>
  <c r="V130" i="21"/>
  <c r="W128" i="21"/>
  <c r="W130" i="7"/>
  <c r="X128" i="7"/>
  <c r="X129" i="7"/>
  <c r="W131" i="7"/>
  <c r="W130" i="21"/>
  <c r="X128" i="21"/>
  <c r="W131" i="20"/>
  <c r="X129" i="20"/>
  <c r="W130" i="20"/>
  <c r="X128" i="20"/>
  <c r="V131" i="21"/>
  <c r="W129" i="21"/>
  <c r="W129" i="19"/>
  <c r="V131" i="19"/>
  <c r="W130" i="19"/>
  <c r="X128" i="19"/>
  <c r="X130" i="7"/>
  <c r="Y128" i="7"/>
  <c r="X131" i="7"/>
  <c r="Y129" i="7"/>
  <c r="Y128" i="19"/>
  <c r="X130" i="19"/>
  <c r="X131" i="20"/>
  <c r="Y129" i="20"/>
  <c r="W131" i="19"/>
  <c r="X129" i="19"/>
  <c r="W131" i="21"/>
  <c r="X129" i="21"/>
  <c r="X130" i="21"/>
  <c r="Y128" i="21"/>
  <c r="X130" i="20"/>
  <c r="Y128" i="20"/>
  <c r="Z129" i="7"/>
  <c r="Y131" i="7"/>
  <c r="Z128" i="7"/>
  <c r="Y130" i="7"/>
  <c r="Y130" i="20"/>
  <c r="Z128" i="20"/>
  <c r="Y130" i="21"/>
  <c r="Z128" i="21"/>
  <c r="X131" i="21"/>
  <c r="Y129" i="21"/>
  <c r="X131" i="19"/>
  <c r="Y129" i="19"/>
  <c r="Y131" i="20"/>
  <c r="Z129" i="20"/>
  <c r="Y130" i="19"/>
  <c r="Z128" i="19"/>
  <c r="Z130" i="7"/>
  <c r="AA128" i="7"/>
  <c r="Z131" i="7"/>
  <c r="AA129" i="7"/>
  <c r="AA128" i="19"/>
  <c r="Z130" i="19"/>
  <c r="Z131" i="20"/>
  <c r="AA129" i="20"/>
  <c r="Z129" i="19"/>
  <c r="Y131" i="19"/>
  <c r="Y131" i="21"/>
  <c r="Z129" i="21"/>
  <c r="AA128" i="21"/>
  <c r="Z130" i="21"/>
  <c r="AA128" i="20"/>
  <c r="Z130" i="20"/>
  <c r="AB129" i="7"/>
  <c r="AA131" i="7"/>
  <c r="AB128" i="7"/>
  <c r="AA130" i="7"/>
  <c r="AB128" i="20"/>
  <c r="AA130" i="20"/>
  <c r="AB128" i="21"/>
  <c r="AA130" i="21"/>
  <c r="Z131" i="19"/>
  <c r="AA129" i="19"/>
  <c r="AA131" i="20"/>
  <c r="AB129" i="20"/>
  <c r="Z131" i="21"/>
  <c r="AA129" i="21"/>
  <c r="AA130" i="19"/>
  <c r="AB128" i="19"/>
  <c r="AB130" i="7"/>
  <c r="AC128" i="7"/>
  <c r="AB131" i="7"/>
  <c r="AC129" i="7"/>
  <c r="AA131" i="21"/>
  <c r="AB129" i="21"/>
  <c r="AC129" i="20"/>
  <c r="AB131" i="20"/>
  <c r="AA131" i="19"/>
  <c r="AB129" i="19"/>
  <c r="AC128" i="19"/>
  <c r="AB130" i="19"/>
  <c r="AB130" i="21"/>
  <c r="AC128" i="21"/>
  <c r="AC128" i="20"/>
  <c r="AB130" i="20"/>
  <c r="AD128" i="7"/>
  <c r="AC130" i="7"/>
  <c r="AC131" i="7"/>
  <c r="AD129" i="7"/>
  <c r="AC130" i="20"/>
  <c r="AD128" i="20"/>
  <c r="AB131" i="19"/>
  <c r="AC129" i="19"/>
  <c r="AC129" i="21"/>
  <c r="AB131" i="21"/>
  <c r="AD128" i="21"/>
  <c r="AC130" i="21"/>
  <c r="AC130" i="19"/>
  <c r="AD128" i="19"/>
  <c r="AC131" i="20"/>
  <c r="AD129" i="20"/>
  <c r="AE129" i="7"/>
  <c r="AD131" i="7"/>
  <c r="AD130" i="7"/>
  <c r="AE128" i="7"/>
  <c r="AD130" i="21"/>
  <c r="AE128" i="21"/>
  <c r="AE129" i="20"/>
  <c r="AD131" i="20"/>
  <c r="AD129" i="21"/>
  <c r="AC131" i="21"/>
  <c r="AE128" i="20"/>
  <c r="AD130" i="20"/>
  <c r="AD130" i="19"/>
  <c r="AE128" i="19"/>
  <c r="AD129" i="19"/>
  <c r="AC131" i="19"/>
  <c r="AE130" i="7"/>
  <c r="AF128" i="7"/>
  <c r="AF129" i="7"/>
  <c r="AE131" i="7"/>
  <c r="AE130" i="19"/>
  <c r="AF128" i="19"/>
  <c r="AF128" i="20"/>
  <c r="AE130" i="20"/>
  <c r="AD131" i="19"/>
  <c r="AE129" i="19"/>
  <c r="AE129" i="21"/>
  <c r="AD131" i="21"/>
  <c r="AE131" i="20"/>
  <c r="AF129" i="20"/>
  <c r="AE130" i="21"/>
  <c r="AF128" i="21"/>
  <c r="AG128" i="7"/>
  <c r="AF130" i="7"/>
  <c r="AG129" i="7"/>
  <c r="AF131" i="7"/>
  <c r="AE131" i="21"/>
  <c r="AF129" i="21"/>
  <c r="AF130" i="19"/>
  <c r="AG128" i="19"/>
  <c r="AF130" i="21"/>
  <c r="AG128" i="21"/>
  <c r="AG129" i="20"/>
  <c r="AF131" i="20"/>
  <c r="AF129" i="19"/>
  <c r="AE131" i="19"/>
  <c r="AG128" i="20"/>
  <c r="AF130" i="20"/>
  <c r="AH129" i="7"/>
  <c r="AG131" i="7"/>
  <c r="AH128" i="7"/>
  <c r="AG130" i="7"/>
  <c r="AG129" i="19"/>
  <c r="AF131" i="19"/>
  <c r="AH128" i="20"/>
  <c r="AG130" i="20"/>
  <c r="AG131" i="20"/>
  <c r="AH129" i="20"/>
  <c r="AG130" i="21"/>
  <c r="AH128" i="21"/>
  <c r="AH128" i="19"/>
  <c r="AG130" i="19"/>
  <c r="AG129" i="21"/>
  <c r="AF131" i="21"/>
  <c r="AI128" i="7"/>
  <c r="AI130" i="7"/>
  <c r="D137" i="7"/>
  <c r="AH130" i="7"/>
  <c r="AI129" i="7"/>
  <c r="AI131" i="7"/>
  <c r="D138" i="7"/>
  <c r="AH131" i="7"/>
  <c r="AG131" i="21"/>
  <c r="AH129" i="21"/>
  <c r="AI128" i="19"/>
  <c r="AI130" i="19"/>
  <c r="D137" i="19"/>
  <c r="F51" i="11"/>
  <c r="I68" i="22"/>
  <c r="AH130" i="19"/>
  <c r="AH130" i="21"/>
  <c r="AI128" i="21"/>
  <c r="AI130" i="21"/>
  <c r="D137" i="21"/>
  <c r="H51" i="11"/>
  <c r="AI129" i="20"/>
  <c r="AI131" i="20"/>
  <c r="D138" i="20"/>
  <c r="G52" i="11"/>
  <c r="J69" i="22"/>
  <c r="AH131" i="20"/>
  <c r="AH130" i="20"/>
  <c r="AI128" i="20"/>
  <c r="AI130" i="20"/>
  <c r="D137" i="20"/>
  <c r="G51" i="11"/>
  <c r="J68" i="22"/>
  <c r="AG131" i="19"/>
  <c r="AH129" i="19"/>
  <c r="E51" i="11"/>
  <c r="H68" i="22"/>
  <c r="E52" i="11"/>
  <c r="H69" i="22"/>
  <c r="F68" i="22" a="1"/>
  <c r="F68" i="22"/>
  <c r="AH131" i="19"/>
  <c r="AI129" i="19"/>
  <c r="AI131" i="19"/>
  <c r="D138" i="19"/>
  <c r="F52" i="11"/>
  <c r="I69" i="22"/>
  <c r="F69" i="22" a="1"/>
  <c r="F69" i="22"/>
  <c r="AI129" i="21"/>
  <c r="AI131" i="21"/>
  <c r="AH131" i="21"/>
  <c r="D138" i="21"/>
  <c r="H5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D15" authorId="0" shapeId="0" xr:uid="{6A523520-8956-4C79-BE8B-A8F724E48792}">
      <text>
        <r>
          <rPr>
            <u/>
            <sz val="9"/>
            <color indexed="81"/>
            <rFont val="Tahoma"/>
            <family val="2"/>
          </rPr>
          <t xml:space="preserve">References: </t>
        </r>
        <r>
          <rPr>
            <sz val="9"/>
            <color indexed="81"/>
            <rFont val="Tahoma"/>
            <family val="2"/>
          </rPr>
          <t xml:space="preserve">
[1] 
[2] </t>
        </r>
      </text>
    </comment>
    <comment ref="E15" authorId="0" shapeId="0" xr:uid="{16F7505E-ADE0-47C9-968C-02CA4D17F03F}">
      <text>
        <r>
          <rPr>
            <i/>
            <u/>
            <sz val="9"/>
            <color indexed="81"/>
            <rFont val="Tahoma"/>
            <family val="2"/>
          </rPr>
          <t xml:space="preserve">References: </t>
        </r>
        <r>
          <rPr>
            <sz val="9"/>
            <color indexed="81"/>
            <rFont val="Tahoma"/>
            <family val="2"/>
          </rPr>
          <t xml:space="preserve">
[1] 
[2] </t>
        </r>
      </text>
    </comment>
    <comment ref="D16" authorId="0" shapeId="0" xr:uid="{655A5792-0757-4459-873A-6257D1BC02C7}">
      <text>
        <r>
          <rPr>
            <u/>
            <sz val="9"/>
            <color indexed="81"/>
            <rFont val="Tahoma"/>
            <family val="2"/>
          </rPr>
          <t xml:space="preserve">References: </t>
        </r>
        <r>
          <rPr>
            <sz val="9"/>
            <color indexed="81"/>
            <rFont val="Tahoma"/>
            <family val="2"/>
          </rPr>
          <t xml:space="preserve">
[1] 
[2] </t>
        </r>
      </text>
    </comment>
    <comment ref="E16" authorId="0" shapeId="0" xr:uid="{D0232249-8B68-404E-AB55-8A2827560DA7}">
      <text>
        <r>
          <rPr>
            <i/>
            <u/>
            <sz val="9"/>
            <color indexed="81"/>
            <rFont val="Tahoma"/>
            <family val="2"/>
          </rPr>
          <t xml:space="preserve">References: </t>
        </r>
        <r>
          <rPr>
            <sz val="9"/>
            <color indexed="81"/>
            <rFont val="Tahoma"/>
            <family val="2"/>
          </rPr>
          <t xml:space="preserve">
[1] 
[2] </t>
        </r>
      </text>
    </comment>
    <comment ref="D17" authorId="0" shapeId="0" xr:uid="{805F98E4-D798-436D-9202-27E501499793}">
      <text>
        <r>
          <rPr>
            <u/>
            <sz val="9"/>
            <color indexed="81"/>
            <rFont val="Tahoma"/>
            <family val="2"/>
          </rPr>
          <t xml:space="preserve">References: </t>
        </r>
        <r>
          <rPr>
            <sz val="9"/>
            <color indexed="81"/>
            <rFont val="Tahoma"/>
            <family val="2"/>
          </rPr>
          <t xml:space="preserve">
[1] 
[2] </t>
        </r>
      </text>
    </comment>
    <comment ref="E17" authorId="0" shapeId="0" xr:uid="{58771A8C-E8F5-4C43-8F80-A06D1FAA73CF}">
      <text>
        <r>
          <rPr>
            <i/>
            <u/>
            <sz val="9"/>
            <color indexed="81"/>
            <rFont val="Tahoma"/>
            <family val="2"/>
          </rPr>
          <t xml:space="preserve">References: </t>
        </r>
        <r>
          <rPr>
            <sz val="9"/>
            <color indexed="81"/>
            <rFont val="Tahoma"/>
            <family val="2"/>
          </rPr>
          <t xml:space="preserve">
[1]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C8" authorId="0" shapeId="0" xr:uid="{6A59FF0B-FCA6-4AAE-927C-8488940A8FB8}">
      <text>
        <r>
          <rPr>
            <i/>
            <u/>
            <sz val="9"/>
            <color indexed="81"/>
            <rFont val="Tahoma"/>
            <family val="2"/>
          </rPr>
          <t>References:</t>
        </r>
        <r>
          <rPr>
            <sz val="9"/>
            <color indexed="81"/>
            <rFont val="Tahoma"/>
            <family val="2"/>
          </rPr>
          <t xml:space="preserve">
[1] 
[2] </t>
        </r>
      </text>
    </comment>
    <comment ref="C9" authorId="0" shapeId="0" xr:uid="{B4494A91-849C-4F77-B5CE-31FB1B2C76B4}">
      <text>
        <r>
          <rPr>
            <i/>
            <u/>
            <sz val="9"/>
            <color indexed="81"/>
            <rFont val="Tahoma"/>
            <family val="2"/>
          </rPr>
          <t xml:space="preserve">References: </t>
        </r>
        <r>
          <rPr>
            <sz val="9"/>
            <color indexed="81"/>
            <rFont val="Tahoma"/>
            <family val="2"/>
          </rPr>
          <t xml:space="preserve">
[1] 
[2] </t>
        </r>
      </text>
    </comment>
    <comment ref="C10" authorId="0" shapeId="0" xr:uid="{20437565-F37E-42B0-A1CE-237678B8E2B2}">
      <text>
        <r>
          <rPr>
            <i/>
            <u/>
            <sz val="9"/>
            <color indexed="81"/>
            <rFont val="Tahoma"/>
            <family val="2"/>
          </rPr>
          <t xml:space="preserve">References: </t>
        </r>
        <r>
          <rPr>
            <sz val="9"/>
            <color indexed="81"/>
            <rFont val="Tahoma"/>
            <family val="2"/>
          </rPr>
          <t xml:space="preserve">
[1] 
[2] 
</t>
        </r>
      </text>
    </comment>
    <comment ref="C11" authorId="0" shapeId="0" xr:uid="{1E00A7F5-61BD-4A8B-A8EA-90BED96C41B0}">
      <text>
        <r>
          <rPr>
            <i/>
            <u/>
            <sz val="9"/>
            <color indexed="81"/>
            <rFont val="Tahoma"/>
            <family val="2"/>
          </rPr>
          <t xml:space="preserve">References: </t>
        </r>
        <r>
          <rPr>
            <sz val="9"/>
            <color indexed="81"/>
            <rFont val="Tahoma"/>
            <family val="2"/>
          </rPr>
          <t xml:space="preserve">
[1] 
[2] 
</t>
        </r>
      </text>
    </comment>
    <comment ref="C12" authorId="0" shapeId="0" xr:uid="{E20DD593-9267-4F18-8248-223095508105}">
      <text>
        <r>
          <rPr>
            <i/>
            <u/>
            <sz val="9"/>
            <color indexed="81"/>
            <rFont val="Tahoma"/>
            <family val="2"/>
          </rPr>
          <t>References:</t>
        </r>
        <r>
          <rPr>
            <sz val="9"/>
            <color indexed="81"/>
            <rFont val="Tahoma"/>
            <family val="2"/>
          </rPr>
          <t xml:space="preserve">
[1] 
[2] </t>
        </r>
      </text>
    </comment>
    <comment ref="C13" authorId="0" shapeId="0" xr:uid="{71E7F0BD-BFAE-43AA-9719-2292ECB7BB1A}">
      <text>
        <r>
          <rPr>
            <i/>
            <u/>
            <sz val="9"/>
            <color indexed="81"/>
            <rFont val="Tahoma"/>
            <family val="2"/>
          </rPr>
          <t xml:space="preserve">References: </t>
        </r>
        <r>
          <rPr>
            <sz val="9"/>
            <color indexed="81"/>
            <rFont val="Tahoma"/>
            <family val="2"/>
          </rPr>
          <t xml:space="preserve">
[1] 
[2] 
</t>
        </r>
      </text>
    </comment>
    <comment ref="C14" authorId="0" shapeId="0" xr:uid="{3FAE7BC6-EBD6-49F1-9810-01A635B54763}">
      <text>
        <r>
          <rPr>
            <i/>
            <u/>
            <sz val="9"/>
            <color indexed="81"/>
            <rFont val="Tahoma"/>
            <family val="2"/>
          </rPr>
          <t xml:space="preserve">References: </t>
        </r>
        <r>
          <rPr>
            <sz val="9"/>
            <color indexed="81"/>
            <rFont val="Tahoma"/>
            <family val="2"/>
          </rPr>
          <t xml:space="preserve">
[1] 
[2] </t>
        </r>
      </text>
    </comment>
    <comment ref="C15" authorId="0" shapeId="0" xr:uid="{162FD13A-37EA-4C92-8B18-6270866DEDDA}">
      <text>
        <r>
          <rPr>
            <i/>
            <u/>
            <sz val="9"/>
            <color indexed="81"/>
            <rFont val="Tahoma"/>
            <family val="2"/>
          </rPr>
          <t xml:space="preserve">References: </t>
        </r>
        <r>
          <rPr>
            <sz val="9"/>
            <color indexed="81"/>
            <rFont val="Tahoma"/>
            <family val="2"/>
          </rPr>
          <t xml:space="preserve">
[1] 
[2] </t>
        </r>
      </text>
    </comment>
    <comment ref="C16" authorId="0" shapeId="0" xr:uid="{7C6A0008-AC09-47AC-A400-32741B5B8B5C}">
      <text>
        <r>
          <rPr>
            <i/>
            <u/>
            <sz val="9"/>
            <color indexed="81"/>
            <rFont val="Tahoma"/>
            <family val="2"/>
          </rPr>
          <t xml:space="preserve">References: </t>
        </r>
        <r>
          <rPr>
            <sz val="9"/>
            <color indexed="81"/>
            <rFont val="Tahoma"/>
            <family val="2"/>
          </rPr>
          <t xml:space="preserve">
[1] 
[2] </t>
        </r>
      </text>
    </comment>
    <comment ref="C17" authorId="0" shapeId="0" xr:uid="{96BA97E8-4767-4423-AC01-6C6C2E4A4A64}">
      <text>
        <r>
          <rPr>
            <i/>
            <u/>
            <sz val="9"/>
            <color indexed="81"/>
            <rFont val="Tahoma"/>
            <family val="2"/>
          </rPr>
          <t xml:space="preserve">References: </t>
        </r>
        <r>
          <rPr>
            <sz val="9"/>
            <color indexed="81"/>
            <rFont val="Tahoma"/>
            <family val="2"/>
          </rPr>
          <t xml:space="preserve">
[1] 
[2] </t>
        </r>
      </text>
    </comment>
    <comment ref="C18" authorId="0" shapeId="0" xr:uid="{C9E477AB-DF63-4A1D-BE9A-21D9319F16C2}">
      <text>
        <r>
          <rPr>
            <i/>
            <u/>
            <sz val="9"/>
            <color indexed="81"/>
            <rFont val="Tahoma"/>
            <family val="2"/>
          </rPr>
          <t xml:space="preserve">References: </t>
        </r>
        <r>
          <rPr>
            <sz val="9"/>
            <color indexed="81"/>
            <rFont val="Tahoma"/>
            <family val="2"/>
          </rPr>
          <t xml:space="preserve">
[1] 
[2] </t>
        </r>
      </text>
    </comment>
    <comment ref="C19" authorId="0" shapeId="0" xr:uid="{0FCA6D61-98BF-419A-9465-C93C3E150FEC}">
      <text>
        <r>
          <rPr>
            <i/>
            <u/>
            <sz val="9"/>
            <color indexed="81"/>
            <rFont val="Tahoma"/>
            <family val="2"/>
          </rPr>
          <t xml:space="preserve">References: </t>
        </r>
        <r>
          <rPr>
            <sz val="9"/>
            <color indexed="81"/>
            <rFont val="Tahoma"/>
            <family val="2"/>
          </rPr>
          <t xml:space="preserve">
[1] 
[2] </t>
        </r>
      </text>
    </comment>
    <comment ref="A20" authorId="0" shapeId="0" xr:uid="{133DEAC0-441D-41EC-A026-972490405C9E}">
      <text>
        <r>
          <rPr>
            <sz val="9"/>
            <color indexed="81"/>
            <rFont val="Tahoma"/>
            <family val="2"/>
          </rPr>
          <t xml:space="preserve">Copy the table for each targetted product in case you target several endproducts. 
</t>
        </r>
        <r>
          <rPr>
            <i/>
            <sz val="9"/>
            <color indexed="81"/>
            <rFont val="Tahoma"/>
            <family val="2"/>
          </rPr>
          <t xml:space="preserve">Please hide or delete this note if clear. </t>
        </r>
      </text>
    </comment>
    <comment ref="C20" authorId="0" shapeId="0" xr:uid="{73C94838-1411-4DEA-B7FD-3668A1CD2C3D}">
      <text>
        <r>
          <rPr>
            <i/>
            <u/>
            <sz val="9"/>
            <color indexed="81"/>
            <rFont val="Tahoma"/>
            <family val="2"/>
          </rPr>
          <t xml:space="preserve">References: </t>
        </r>
        <r>
          <rPr>
            <sz val="9"/>
            <color indexed="81"/>
            <rFont val="Tahoma"/>
            <family val="2"/>
          </rPr>
          <t xml:space="preserve">
[1]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F10" authorId="0" shapeId="0" xr:uid="{8893AC5A-3A21-4591-8015-3702FC89D232}">
      <text>
        <r>
          <rPr>
            <sz val="9"/>
            <color indexed="81"/>
            <rFont val="Tahoma"/>
            <family val="2"/>
          </rPr>
          <t xml:space="preserve">Typical discount rates are: 
(i) 10% for cost improvement of conventional technologies, 
(ii) 15% for the expansion of conventional technologies, 
(iii) 20% for product development, and 
(iv) 30% for speculative venture. 
[Mercken, R., De investeringsbeslissing. Een beleidsgerichte analyse. 2004, Antwerpen: Garant]
For MOT a value of 25% is chosen. </t>
        </r>
      </text>
    </comment>
    <comment ref="F12" authorId="0" shapeId="0" xr:uid="{865C3635-4D01-4115-A025-1A9F07C109E7}">
      <text>
        <r>
          <rPr>
            <sz val="9"/>
            <color indexed="81"/>
            <rFont val="Tahoma"/>
            <family val="2"/>
          </rPr>
          <t xml:space="preserve">Typically 20/80 or 30/70. For MOT projects 20/80 is chosen. </t>
        </r>
      </text>
    </comment>
    <comment ref="F17" authorId="0" shapeId="0" xr:uid="{9B4A5AA9-DEAD-4CA0-ACBD-DACE24FEF998}">
      <text>
        <r>
          <rPr>
            <sz val="9"/>
            <color indexed="81"/>
            <rFont val="Tahoma"/>
            <family val="2"/>
          </rPr>
          <t>25% for Belgium [https://stats.oecd.org/Index.aspx?DataSetCode=CTS_CIT]</t>
        </r>
      </text>
    </comment>
    <comment ref="F20" authorId="0" shapeId="0" xr:uid="{7C736B0B-FA71-4E5D-9B2E-3FA2B953D7C1}">
      <text>
        <r>
          <rPr>
            <sz val="9"/>
            <color indexed="81"/>
            <rFont val="Tahoma"/>
            <family val="2"/>
          </rPr>
          <t>4 [Peters, Timmerhaus et al, 2003]</t>
        </r>
      </text>
    </comment>
    <comment ref="F21" authorId="0" shapeId="0" xr:uid="{BCDCAC72-602E-42D9-8435-4BDD9DE051D2}">
      <text>
        <r>
          <rPr>
            <sz val="9"/>
            <color indexed="81"/>
            <rFont val="Tahoma"/>
            <family val="2"/>
          </rPr>
          <t>4.3 [Peters, Timmerhaus et al, 2003]</t>
        </r>
      </text>
    </comment>
    <comment ref="F22" authorId="0" shapeId="0" xr:uid="{9B254CFB-E7B8-4CB7-A440-009C86367E8C}">
      <text>
        <r>
          <rPr>
            <sz val="9"/>
            <color indexed="81"/>
            <rFont val="Tahoma"/>
            <family val="2"/>
          </rPr>
          <t>5 [Peters, Timmerhaus et al, 2003]</t>
        </r>
      </text>
    </comment>
    <comment ref="C24" authorId="0" shapeId="0" xr:uid="{E6FA0D3F-7DF1-4BC5-94BD-42E150B67303}">
      <text>
        <r>
          <rPr>
            <sz val="9"/>
            <color indexed="81"/>
            <rFont val="Tahoma"/>
            <family val="2"/>
          </rPr>
          <t>direct equipment = purchased equipment delivered</t>
        </r>
      </text>
    </comment>
    <comment ref="F24" authorId="0" shapeId="0" xr:uid="{C1910C28-6F6B-42F2-AB2A-F0C525C6B829}">
      <text>
        <r>
          <rPr>
            <sz val="9"/>
            <color indexed="81"/>
            <rFont val="Tahoma"/>
            <family val="2"/>
          </rPr>
          <t>45 for solid processing plant
39 for solid-fluid processing plant
47 for fluid processing plant 
[Peters, Timmerhaus et al, 2003]</t>
        </r>
      </text>
    </comment>
    <comment ref="F25" authorId="0" shapeId="0" xr:uid="{E47B6109-F94A-4963-B547-C8290BE72B7C}">
      <text>
        <r>
          <rPr>
            <sz val="9"/>
            <color indexed="81"/>
            <rFont val="Tahoma"/>
            <family val="2"/>
          </rPr>
          <t>18 for solid processing plant
26 for solid-fluid processing plant
36 for fluid processing plant 
[Peters, Timmerhaus et al, 2003]</t>
        </r>
      </text>
    </comment>
    <comment ref="F26" authorId="0" shapeId="0" xr:uid="{7B4CD8B3-BEDB-4902-B55A-E49C37076226}">
      <text>
        <r>
          <rPr>
            <sz val="9"/>
            <color indexed="81"/>
            <rFont val="Tahoma"/>
            <family val="2"/>
          </rPr>
          <t>16 for solid processing plant
31 for solid-fluid processing plant
68 for fluid processing plant 
[Peters, Timmerhaus et al, 2003]</t>
        </r>
      </text>
    </comment>
    <comment ref="F27" authorId="0" shapeId="0" xr:uid="{95700574-7DDF-428C-8922-6814EBC0897C}">
      <text>
        <r>
          <rPr>
            <sz val="9"/>
            <color indexed="81"/>
            <rFont val="Tahoma"/>
            <family val="2"/>
          </rPr>
          <t>10 for solid processing plant
10 for solid-fluid processing plant
11 for fluid processing plant 
[Peters, Timmerhaus et al, 2003]</t>
        </r>
      </text>
    </comment>
    <comment ref="F28" authorId="0" shapeId="0" xr:uid="{1A873585-6AF8-475C-ADB0-04C1D67BBBE4}">
      <text>
        <r>
          <rPr>
            <sz val="9"/>
            <color indexed="81"/>
            <rFont val="Tahoma"/>
            <family val="2"/>
          </rPr>
          <t>25 for solid processing plant
29 for solid-fluid processing plant
18 for fluid processing plant 
[Peters, Timmerhaus et al, 2003]</t>
        </r>
      </text>
    </comment>
    <comment ref="F29" authorId="0" shapeId="0" xr:uid="{1588E990-8236-45D7-8F5C-DBF057550D1F}">
      <text>
        <r>
          <rPr>
            <sz val="9"/>
            <color indexed="81"/>
            <rFont val="Tahoma"/>
            <family val="2"/>
          </rPr>
          <t>15 for solid processing plant
12 for solid-fluid processing plant
10 for fluid processing plant 
[Peters, Timmerhaus et al, 2003]</t>
        </r>
      </text>
    </comment>
    <comment ref="F30" authorId="0" shapeId="0" xr:uid="{64794276-EE0B-4450-8591-4FFE6A08BF41}">
      <text>
        <r>
          <rPr>
            <sz val="9"/>
            <color indexed="81"/>
            <rFont val="Tahoma"/>
            <family val="2"/>
          </rPr>
          <t>40 for solid processing plant
55 for solid-fluid processing plant
70 for fluid processing plant 
[Peters, Timmerhaus et al, 2003]</t>
        </r>
      </text>
    </comment>
    <comment ref="F31" authorId="0" shapeId="0" xr:uid="{6F2A1C1C-9218-4070-A836-F858FA5107A1}">
      <text>
        <r>
          <rPr>
            <sz val="9"/>
            <color indexed="81"/>
            <rFont val="Tahoma"/>
            <family val="2"/>
          </rPr>
          <t>33 for solid processing plant
32 for solid-fluid processing plant
33 for fluid processing plant 
[Peters, Timmerhaus et al, 2003]</t>
        </r>
      </text>
    </comment>
    <comment ref="F32" authorId="0" shapeId="0" xr:uid="{55A643E2-701A-4E7B-84B5-A54825C42648}">
      <text>
        <r>
          <rPr>
            <sz val="9"/>
            <color indexed="81"/>
            <rFont val="Tahoma"/>
            <family val="2"/>
          </rPr>
          <t>39 for solid processing plant
34 for solid-fluid processing plant
41 for fluid processing plant 
[Peters, Timmerhaus et al, 2003]</t>
        </r>
      </text>
    </comment>
    <comment ref="F33" authorId="0" shapeId="0" xr:uid="{A84CBE2D-A5D0-426A-840A-A32CEBA2AFBE}">
      <text>
        <r>
          <rPr>
            <sz val="9"/>
            <color indexed="81"/>
            <rFont val="Tahoma"/>
            <family val="2"/>
          </rPr>
          <t>4 for solid processing plant
4 for solid-fluid processing plant
4 for fluid processing plant 
[Peters, Timmerhaus et al, 2003]</t>
        </r>
      </text>
    </comment>
    <comment ref="F34" authorId="0" shapeId="0" xr:uid="{80300FF2-68F4-4B75-8B82-37E1F2A586ED}">
      <text>
        <r>
          <rPr>
            <sz val="9"/>
            <color indexed="81"/>
            <rFont val="Tahoma"/>
            <family val="2"/>
          </rPr>
          <t>17 for solid processing plant
19 for solid-fluid processing plant
22 for fluid processing plant 
[Peters, Timmerhaus et al, 2003]</t>
        </r>
      </text>
    </comment>
    <comment ref="F35" authorId="0" shapeId="0" xr:uid="{3D48201E-C8A9-4014-ACCF-1134F6F9CFE1}">
      <text>
        <r>
          <rPr>
            <sz val="9"/>
            <color indexed="81"/>
            <rFont val="Tahoma"/>
            <family val="2"/>
          </rPr>
          <t>35 for solid processing plant
37 for solid-fluid processing plant
44 for fluid processing plant 
[Peters, Timmerhaus et al, 2003]</t>
        </r>
      </text>
    </comment>
    <comment ref="F36" authorId="0" shapeId="0" xr:uid="{5319A5A1-4500-4ACC-A41D-075EFA6AA561}">
      <text>
        <r>
          <rPr>
            <sz val="9"/>
            <color indexed="81"/>
            <rFont val="Tahoma"/>
            <family val="2"/>
          </rPr>
          <t>70 for solid processing plant
75 for solid-fluid processing plant
89 for fluid processing plant 
[Peters, Timmerhaus et al, 2003]</t>
        </r>
      </text>
    </comment>
    <comment ref="F40" authorId="0" shapeId="0" xr:uid="{93F20010-2BF1-444C-B2B7-231E1784E592}">
      <text>
        <r>
          <rPr>
            <sz val="9"/>
            <color indexed="81"/>
            <rFont val="Tahoma"/>
            <family val="2"/>
          </rPr>
          <t>Belgium 2020: 41.6 €/hr [http://appsso.eurostat.ec.europa.eu/nui/show.do?dataset=lc_lci_lev&amp;lang=en]</t>
        </r>
      </text>
    </comment>
    <comment ref="F47" authorId="0" shapeId="0" xr:uid="{7C31736D-438B-4A43-A303-DCFB34CB78B2}">
      <text>
        <r>
          <rPr>
            <sz val="9"/>
            <color indexed="81"/>
            <rFont val="Tahoma"/>
            <family val="2"/>
          </rPr>
          <t xml:space="preserve">Electricity prices for non-household consumers - 2021-S2: 
&lt;20 MWh: 0.2954 €/kWh
20-500 MWh: 0.2159 €/kWh
500 MWh-2000 MWh: 0.1732 €/kWh
2000-20,000 MWh: 0.1398 €/kWh
20,000-70,000 MWh: 0.1396 €/kWh
70,000-150,000 MWh: 0.1212 €/kWh
&gt;150,000 MWh: 0.1374 €/kWh
[Eurostat, NRG_PC_205]
</t>
        </r>
      </text>
    </comment>
    <comment ref="F53" authorId="0" shapeId="0" xr:uid="{9694CAC5-3C93-4E30-8502-6AD1EBB1E2D8}">
      <text>
        <r>
          <rPr>
            <sz val="9"/>
            <color indexed="81"/>
            <rFont val="Tahoma"/>
            <family val="2"/>
          </rPr>
          <t>Gas prices for non-household consumers - 2021-S2: 
&lt;1000 GJ: 0.0637 €/kWh
1000 GJ - 10,000 GJ: 0.0524 €/kWh
10,000 GJ - 100,000 GJ: 0.0410 €/kWh
100,000 GJ - 1,000,000 GJ: 0.0419 €/kWh
1,000,000 GJ - 4,000,000 GJ: 0.0569 €/kWh
&gt; 4,000,000 GJ: 0.0738 €/kWh
[Eurostat, NRG_PC_203]</t>
        </r>
      </text>
    </comment>
    <comment ref="F54" authorId="0" shapeId="0" xr:uid="{1F759B6D-5E0E-4764-8D73-10BE26F77EC1}">
      <text>
        <r>
          <rPr>
            <sz val="9"/>
            <color indexed="81"/>
            <rFont val="Tahoma"/>
            <family val="2"/>
          </rPr>
          <t>Depending on the pressure. 
20-25 for medium pressure [Aspen, 2021]
25-30 for high pressure [Aspen, 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 Dael Miet</author>
    <author>Giovanna Sauve</author>
  </authors>
  <commentList>
    <comment ref="F10" authorId="0" shapeId="0" xr:uid="{2E312E77-2B98-4FB0-B676-930A7A052C06}">
      <text>
        <r>
          <rPr>
            <sz val="9"/>
            <color indexed="81"/>
            <rFont val="Tahoma"/>
            <family val="2"/>
          </rPr>
          <t>1 kg CO2eq/kg substance if fossil-origin - AR5 (2014) [Kyoto Protocol]</t>
        </r>
      </text>
    </comment>
    <comment ref="F11" authorId="0" shapeId="0" xr:uid="{D11D7EC0-B066-4458-A057-EEE1197A82D4}">
      <text>
        <r>
          <rPr>
            <sz val="9"/>
            <color indexed="81"/>
            <rFont val="Tahoma"/>
            <family val="2"/>
          </rPr>
          <t>0 kg CO2eq/kg substance if biogenic origin - AR5 (2014) [Kyoto Protocol]</t>
        </r>
      </text>
    </comment>
    <comment ref="F12" authorId="0" shapeId="0" xr:uid="{EC4C066D-0F79-4354-991C-22F020222221}">
      <text>
        <r>
          <rPr>
            <sz val="9"/>
            <color indexed="81"/>
            <rFont val="Tahoma"/>
            <family val="2"/>
          </rPr>
          <t>28 kg CO2eq/kg substance - AR5 (2014) [Kyoto Protocol]</t>
        </r>
      </text>
    </comment>
    <comment ref="F13" authorId="0" shapeId="0" xr:uid="{E894412B-E0CA-4632-8DC9-32E11B06BEFC}">
      <text>
        <r>
          <rPr>
            <sz val="9"/>
            <color indexed="81"/>
            <rFont val="Tahoma"/>
            <family val="2"/>
          </rPr>
          <t>265 kg CO2eq/kg substance - AR5 (2014) [Kyoto Protocol]</t>
        </r>
      </text>
    </comment>
    <comment ref="F14" authorId="0" shapeId="0" xr:uid="{B06C40FD-5BC2-41E6-BA95-9DC9461D59A9}">
      <text>
        <r>
          <rPr>
            <sz val="9"/>
            <color indexed="81"/>
            <rFont val="Tahoma"/>
            <family val="2"/>
          </rPr>
          <t>782 kg CO2eq/kg substance - AR5 (2014) [Kyoto Protocol]</t>
        </r>
      </text>
    </comment>
    <comment ref="F15" authorId="0" shapeId="0" xr:uid="{7404ED0C-6957-451F-8CC3-C135A92FDB95}">
      <text>
        <r>
          <rPr>
            <sz val="9"/>
            <color indexed="81"/>
            <rFont val="Tahoma"/>
            <family val="2"/>
          </rPr>
          <t>1300 kg CO2eq/kg substance - AR5 (2014) [Kyoto Protocol]</t>
        </r>
      </text>
    </comment>
    <comment ref="F16" authorId="0" shapeId="0" xr:uid="{FE81D9FA-1ACB-469B-AB2B-FDB3E960AE53}">
      <text>
        <r>
          <rPr>
            <sz val="9"/>
            <color indexed="81"/>
            <rFont val="Tahoma"/>
            <family val="2"/>
          </rPr>
          <t>1760 kg CO2eq/kg substance - AR5 (2014) [Kyoto Protocol]</t>
        </r>
      </text>
    </comment>
    <comment ref="F17" authorId="0" shapeId="0" xr:uid="{E074A663-7BD6-4ED9-A3C3-ABBEE117D5B2}">
      <text>
        <r>
          <rPr>
            <sz val="9"/>
            <color indexed="81"/>
            <rFont val="Tahoma"/>
            <family val="2"/>
          </rPr>
          <t>1980 kg CO2eq/kg substance - AR5 (2014) [Kyoto Protocol]</t>
        </r>
      </text>
    </comment>
    <comment ref="F18" authorId="0" shapeId="0" xr:uid="{901E128D-97EB-4B14-A879-F5225A176681}">
      <text>
        <r>
          <rPr>
            <sz val="9"/>
            <color indexed="81"/>
            <rFont val="Tahoma"/>
            <family val="2"/>
          </rPr>
          <t>4660 kg CO2eq/kg substance - AR5 (2014) [Kyoto Protocol]</t>
        </r>
      </text>
    </comment>
    <comment ref="F19" authorId="0" shapeId="0" xr:uid="{14210173-95E6-4FAC-9ECE-19DF6BF804CF}">
      <text>
        <r>
          <rPr>
            <sz val="9"/>
            <color indexed="81"/>
            <rFont val="Tahoma"/>
            <family val="2"/>
          </rPr>
          <t>10200 kg CO2eq/kg substance - AR5 (2014) [Kyoto Protocol]</t>
        </r>
      </text>
    </comment>
    <comment ref="F20" authorId="0" shapeId="0" xr:uid="{E10A2676-6917-49E5-BD05-D736FC22DFBE}">
      <text>
        <r>
          <rPr>
            <sz val="9"/>
            <color indexed="81"/>
            <rFont val="Tahoma"/>
            <family val="2"/>
          </rPr>
          <t>23500 kg CO2eq/kg substance - AR5 (2014) [Kyoto Protocol]</t>
        </r>
      </text>
    </comment>
    <comment ref="F24" authorId="0" shapeId="0" xr:uid="{CD9691A1-FB90-446A-94D1-A15218FECEB5}">
      <text>
        <r>
          <rPr>
            <sz val="11"/>
            <color theme="1"/>
            <rFont val="Calibri"/>
            <family val="2"/>
            <scheme val="minor"/>
          </rPr>
          <t>0.184 [Messagie et al (2014)]  average
0.14 kg CO2eq/kWh [Statista: carbon intensity of power sector, 2021] - does not include upstream emissions 
0.173 kg CO2eq/kWh [https://app.electricitymaps.com/zone/BE, 2022-2023] --&gt; I found 0.148 
0.154 kg CO2eq/kWh [EEA, 2021] - does not include upstream emissons (plants, decommissioning)
(Belgium)</t>
        </r>
      </text>
    </comment>
    <comment ref="F26" authorId="0" shapeId="0" xr:uid="{74B85994-7E5B-499E-BFB3-ED8F821F27E9}">
      <text>
        <r>
          <rPr>
            <sz val="11"/>
            <color theme="1"/>
            <rFont val="Calibri"/>
            <family val="2"/>
            <scheme val="minor"/>
          </rPr>
          <t>0.03 kg CO2eq/kWh [Nowtricity, 2022]
0.024 kg CO2eq/kWh [Electricitymaps, Norway]</t>
        </r>
      </text>
    </comment>
    <comment ref="F27" authorId="0" shapeId="0" xr:uid="{872B5E7E-42BC-4B88-A5A6-E579C6E9D45D}">
      <text>
        <r>
          <rPr>
            <sz val="11"/>
            <color theme="1"/>
            <rFont val="Calibri"/>
            <family val="2"/>
            <scheme val="minor"/>
          </rPr>
          <t>733.64436 kg CO2eq/tonne [UK Government GHG Conversion Factors for Company Reporting: https://www.gov.uk/government/publications/greenhouse-gas-reporting-conversion-factors-2023</t>
        </r>
      </text>
    </comment>
    <comment ref="F28" authorId="1" shapeId="0" xr:uid="{A56FD96D-489D-4BE4-8A39-EE193688C5C1}">
      <text>
        <r>
          <rPr>
            <sz val="11"/>
            <color theme="1"/>
            <rFont val="Calibri"/>
            <family val="2"/>
            <scheme val="minor"/>
          </rPr>
          <t>3015.65 kg CO2 eq./tonnes [UK Government GHG Conversion Factors for Company Reporting: https://www.gov.uk/government/publications/greenhouse-gas-reporting-conversion-factors-2023</t>
        </r>
      </text>
    </comment>
    <comment ref="F29" authorId="1" shapeId="0" xr:uid="{CD762CD6-07CD-4EA6-A33C-9FE10F9BBCA7}">
      <text>
        <r>
          <rPr>
            <sz val="11"/>
            <color theme="1"/>
            <rFont val="Calibri"/>
            <family val="2"/>
            <scheme val="minor"/>
          </rPr>
          <t>0.03347 kg CO2 eq./kWh [UK Government GHG Conversion Factors for Company Reporting: https://www.gov.uk/government/publications/greenhouse-gas-reporting-conversion-factors-2023]</t>
        </r>
      </text>
    </comment>
    <comment ref="F30" authorId="1" shapeId="0" xr:uid="{C9D57D2F-D95B-40F0-A986-4A5907D3C173}">
      <text>
        <r>
          <rPr>
            <sz val="11"/>
            <color theme="1"/>
            <rFont val="Calibri"/>
            <family val="2"/>
            <scheme val="minor"/>
          </rPr>
          <t xml:space="preserve">0.20 kg CO2 eq./kWh [UK Government GHG Conversion Factors for Company Reporting: https://www.gov.uk/government/publications/greenhouse-gas-reporting-conversion-factors-2023]
</t>
        </r>
      </text>
    </comment>
    <comment ref="F31" authorId="0" shapeId="0" xr:uid="{6E3B18F5-7992-46C3-A874-C3BA94244470}">
      <text>
        <r>
          <rPr>
            <sz val="11"/>
            <color theme="1"/>
            <rFont val="Calibri"/>
            <family val="2"/>
            <scheme val="minor"/>
          </rPr>
          <t>225-330 gCO2 eq./kWh [ UK Parliament: https://researchbriefings.files.parliament.uk/documents/POST-PN-0523/POST-PN-0523.pdf]</t>
        </r>
      </text>
    </comment>
    <comment ref="F32" authorId="1" shapeId="0" xr:uid="{42D990A7-46D3-499C-9C9D-0A01E0819C5B}">
      <text>
        <r>
          <rPr>
            <sz val="11"/>
            <color theme="1"/>
            <rFont val="Calibri"/>
            <family val="2"/>
            <scheme val="minor"/>
          </rPr>
          <t>New boilers are required to have an efficiency rating of at least A or B, which equates to a carbon footprint of 210-230 gCO2eq/kWh for gas boilers. [UK Parliament: https://researchbriefings.files.parliament.uk/documents/POST-PN-0523/POST-PN-0523.pdf]</t>
        </r>
      </text>
    </comment>
    <comment ref="F33" authorId="0" shapeId="0" xr:uid="{EE01B5A5-8FB1-4106-9777-639ADAF41DEA}">
      <text>
        <r>
          <rPr>
            <sz val="11"/>
            <color theme="1"/>
            <rFont val="Calibri"/>
            <family val="2"/>
            <scheme val="minor"/>
          </rPr>
          <t>350-500 gCO2 eq./kWh [ UK Parliament: https://researchbriefings.files.parliament.uk/documents/POST-PN-0523/POST-PN-0523.pdf]</t>
        </r>
      </text>
    </comment>
    <comment ref="F34" authorId="1" shapeId="0" xr:uid="{E407E2BD-66D3-48D9-9D5C-96799230BB1B}">
      <text>
        <r>
          <rPr>
            <sz val="11"/>
            <color theme="1"/>
            <rFont val="Calibri"/>
            <family val="2"/>
            <scheme val="minor"/>
          </rPr>
          <t>220-300 gCO2 eq./kWh [ UK Parliament: https://researchbriefings.files.parliament.uk/documents/POST-PN-0523/POST-PN-0523.pdf]</t>
        </r>
      </text>
    </comment>
    <comment ref="F35" authorId="0" shapeId="0" xr:uid="{C837C4ED-A895-42B6-8478-8DA1C2C4050D}">
      <text>
        <r>
          <rPr>
            <sz val="11"/>
            <color theme="1"/>
            <rFont val="Calibri"/>
            <family val="2"/>
            <scheme val="minor"/>
          </rPr>
          <t xml:space="preserve">20-100 gCO2 eq./kWh [UK Parliament: https://researchbriefings.files.parliament.uk/documents/POST-PN-0523/POST-PN-0523.pdf]
</t>
        </r>
      </text>
    </comment>
    <comment ref="F36" authorId="1" shapeId="0" xr:uid="{7CB5454F-1DE6-4579-834F-9133DA947016}">
      <text>
        <r>
          <rPr>
            <sz val="11"/>
            <color theme="1"/>
            <rFont val="Calibri"/>
            <family val="2"/>
            <scheme val="minor"/>
          </rPr>
          <t xml:space="preserve">6-100 gCO2 eq./kWh [UK Parliament: https://researchbriefings.files.parliament.uk/documents/POST-PN-0523/POST-PN-0523.pdf]
</t>
        </r>
      </text>
    </comment>
    <comment ref="F37" authorId="0" shapeId="0" xr:uid="{7960F083-AD6D-4A58-9D1F-BFFBF77EE0D1}">
      <text>
        <r>
          <rPr>
            <sz val="11"/>
            <color theme="1"/>
            <rFont val="Calibri"/>
            <family val="2"/>
            <scheme val="minor"/>
          </rPr>
          <t>0.01741 kg CO2eq./tkm [GHG Protocol - average rail]
0.012 kg CO2eq./tkm - Rail, medium-length train (electric 73%, diesel 27%) [Transport data from STREAM Freight Transport 2020 – February 2021 [ CE DELFT]: https://cedelft.eu/wp-content/uploads/sites/2/2021/03/CE_Delft_190325_STREAM_Freight_Transport_2020_FINAL.pdf]</t>
        </r>
      </text>
    </comment>
    <comment ref="F38" authorId="0" shapeId="0" xr:uid="{FF944892-FBB0-438B-82F2-B1EF078C0F99}">
      <text>
        <r>
          <rPr>
            <sz val="11"/>
            <color theme="1"/>
            <rFont val="Calibri"/>
            <family val="2"/>
            <scheme val="minor"/>
          </rPr>
          <t>0.622734086 kg CO2eq/t km [GHG Protocol - aviation, long haul]
0.544 kg CO2 eq./tkm - aviation long haul (average) [Transport data from STREAM Freight Transport 2020 – February 2021 [ CE DELFT]: https://cedelft.eu/wp-content/uploads/sites/2/2021/03/CE_Delft_190325_STREAM_Freight_Transport_2020_FINAL.pdf]</t>
        </r>
      </text>
    </comment>
    <comment ref="F39" authorId="1" shapeId="0" xr:uid="{2A5314EF-A11F-4B42-BF8C-3E69A6C70008}">
      <text>
        <r>
          <rPr>
            <sz val="11"/>
            <color theme="1"/>
            <rFont val="Calibri"/>
            <family val="2"/>
            <scheme val="minor"/>
          </rPr>
          <t xml:space="preserve">1.483384086 kg CO2 eq./tkm [calculated from the tool from GHG Protocol]
</t>
        </r>
      </text>
    </comment>
    <comment ref="F40" authorId="0" shapeId="0" xr:uid="{6E2427AC-BD06-4193-A204-67D21E306A58}">
      <text>
        <r>
          <rPr>
            <sz val="11"/>
            <color theme="1"/>
            <rFont val="Calibri"/>
            <family val="2"/>
            <scheme val="minor"/>
          </rPr>
          <t>0.203985761 kg CO2eq/t km [GHG Protocol - average road vehicle]
0.256 kg CO2 eq./tkm - truck , medium size [Transport data from STREAM Freight Transport 2020 – February 2021 [ CE DELFT]: https://cedelft.eu/wp-content/uploads/sites/2/2021/03/CE_Delft_190325_STREAM_Freight_Transport_2020_FINAL.pdf]</t>
        </r>
      </text>
    </comment>
    <comment ref="F41" authorId="0" shapeId="0" xr:uid="{9DC4DE00-869A-43E1-BCBC-5997DDCECF3D}">
      <text>
        <r>
          <rPr>
            <sz val="11"/>
            <color theme="1"/>
            <rFont val="Calibri"/>
            <family val="2"/>
            <scheme val="minor"/>
          </rPr>
          <t>0.0094 kg CO2eq/t km [GHG Protocol - Shipping - Large Tanker - UK]
0.0066 kg CO2 eq./tkm - maritime shipping - deep sea [Transport data from STREAM Freight Transport 2020 – February 2021 [ CE DELFT]: https://cedelft.eu/wp-content/uploads/sites/2/2021/03/CE_Delft_190325_STREAM_Freight_Transport_2020_FINAL.pdf]
0.03321 kg CO2 eq./tkm [ calculated from GHG Protocol emission factors]</t>
        </r>
      </text>
    </comment>
    <comment ref="F53" authorId="0" shapeId="0" xr:uid="{07D385FE-36E1-46A0-BD0B-6ACFE99AB711}">
      <text>
        <r>
          <rPr>
            <sz val="11"/>
            <color theme="1"/>
            <rFont val="Calibri"/>
            <family val="2"/>
            <scheme val="minor"/>
          </rPr>
          <t>0.201 kg CO2eq/m³ [UK Government GHG Conversion Factors for Company Reporting: https://www.gov.uk/government/publications/greenhouse-gas-reporting-conversion-factors-2023]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06C63BFA-5ABF-4F7B-B53A-EF9103F0A3A2}">
      <text>
        <r>
          <rPr>
            <sz val="9"/>
            <color indexed="81"/>
            <rFont val="Tahoma"/>
            <family val="2"/>
          </rPr>
          <t>Recycled content=(Mass secundary input [kg])/(Mass total input [kg])</t>
        </r>
      </text>
    </comment>
    <comment ref="B71" authorId="0" shapeId="0" xr:uid="{66698D01-2ACD-4D44-8FCF-D3EA0D3914BE}">
      <text>
        <r>
          <rPr>
            <sz val="9"/>
            <color indexed="81"/>
            <rFont val="Tahoma"/>
            <family val="2"/>
          </rPr>
          <t>Renewable content=(Mass renewable input [kg])/(Mass total input [kg])</t>
        </r>
      </text>
    </comment>
    <comment ref="B72" authorId="0" shapeId="0" xr:uid="{B31B4E57-DBD2-4A6A-8814-D7E2898578E9}">
      <text>
        <r>
          <rPr>
            <sz val="9"/>
            <color indexed="81"/>
            <rFont val="Tahoma"/>
            <family val="2"/>
          </rPr>
          <t>Reuse rate=(Mass_reusable materials [kg])/(Mass_total output [kg] )</t>
        </r>
      </text>
    </comment>
    <comment ref="B73" authorId="0" shapeId="0" xr:uid="{7853E5DC-90E6-4FCD-9066-CA6DFAAD8421}">
      <text>
        <r>
          <rPr>
            <sz val="9"/>
            <color indexed="81"/>
            <rFont val="Tahoma"/>
            <family val="2"/>
          </rPr>
          <t>Recycling rate=(Mass_materials going to recycling  [kg])/(Mass_total output [kg])</t>
        </r>
      </text>
    </comment>
    <comment ref="B74" authorId="0" shapeId="0" xr:uid="{10F63D87-763A-4CEA-9B2B-63968E3779F2}">
      <text>
        <r>
          <rPr>
            <sz val="9"/>
            <color indexed="81"/>
            <rFont val="Tahoma"/>
            <family val="2"/>
          </rPr>
          <t>Recycling output rate=(Mass_materials after recycling [kg])/(Mass_total output [kg])</t>
        </r>
      </text>
    </comment>
    <comment ref="B75" authorId="0" shapeId="0" xr:uid="{C95101A4-36AB-460C-BD31-032F3D444431}">
      <text>
        <r>
          <rPr>
            <sz val="9"/>
            <color indexed="81"/>
            <rFont val="Tahoma"/>
            <family val="2"/>
          </rPr>
          <t>Share of renewable energy=(Energy input_renewable [MJ])/(Energy input_total [MJ])</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1FA6C731-9E17-4A92-B0E9-C14E72320703}">
      <text>
        <r>
          <rPr>
            <sz val="9"/>
            <color indexed="81"/>
            <rFont val="Tahoma"/>
            <family val="2"/>
          </rPr>
          <t>Recycled content=(Mass secundary input [kg])/(Mass total input [kg])</t>
        </r>
      </text>
    </comment>
    <comment ref="B71" authorId="0" shapeId="0" xr:uid="{54C251A1-C86A-4008-83DA-0CC3A62F0806}">
      <text>
        <r>
          <rPr>
            <sz val="9"/>
            <color indexed="81"/>
            <rFont val="Tahoma"/>
            <family val="2"/>
          </rPr>
          <t>Renewable content=(Mass renewable input [kg])/(Mass total input [kg])</t>
        </r>
      </text>
    </comment>
    <comment ref="B72" authorId="0" shapeId="0" xr:uid="{13A7A33C-8536-4788-BE13-C555F544ED54}">
      <text>
        <r>
          <rPr>
            <sz val="9"/>
            <color indexed="81"/>
            <rFont val="Tahoma"/>
            <family val="2"/>
          </rPr>
          <t>Reuse rate=(Mass_reusable materials [kg])/(Mass_total output [kg] )</t>
        </r>
      </text>
    </comment>
    <comment ref="B73" authorId="0" shapeId="0" xr:uid="{67B23849-0615-4A3C-BF35-9F5C8A71E9B2}">
      <text>
        <r>
          <rPr>
            <sz val="9"/>
            <color indexed="81"/>
            <rFont val="Tahoma"/>
            <family val="2"/>
          </rPr>
          <t>Recycling rate=(Mass_materials going to recycling  [kg])/(Mass_total output [kg])</t>
        </r>
      </text>
    </comment>
    <comment ref="B74" authorId="0" shapeId="0" xr:uid="{C8ADBC64-AA9D-41B9-815C-FD11731B84C3}">
      <text>
        <r>
          <rPr>
            <sz val="9"/>
            <color indexed="81"/>
            <rFont val="Tahoma"/>
            <family val="2"/>
          </rPr>
          <t>Recycling output rate=(Mass_materials after recycling [kg])/(Mass_total output [kg])</t>
        </r>
      </text>
    </comment>
    <comment ref="B75" authorId="0" shapeId="0" xr:uid="{AEEA32BD-35E2-4825-B692-B8CB8A1507B4}">
      <text>
        <r>
          <rPr>
            <sz val="9"/>
            <color indexed="81"/>
            <rFont val="Tahoma"/>
            <family val="2"/>
          </rPr>
          <t>Share of renewable energy=(Energy input_renewable [MJ])/(Energy input_total [MJ])</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BF440341-4492-430B-98D7-99AA45BD2A79}">
      <text>
        <r>
          <rPr>
            <sz val="9"/>
            <color indexed="81"/>
            <rFont val="Tahoma"/>
            <family val="2"/>
          </rPr>
          <t>Recycled content=(Mass secundary input [kg])/(Mass total input [kg])</t>
        </r>
      </text>
    </comment>
    <comment ref="B71" authorId="0" shapeId="0" xr:uid="{638F589B-0007-400E-A0C1-5FA8D8F4A0F6}">
      <text>
        <r>
          <rPr>
            <sz val="9"/>
            <color indexed="81"/>
            <rFont val="Tahoma"/>
            <family val="2"/>
          </rPr>
          <t>Renewable content=(Mass renewable input [kg])/(Mass total input [kg])</t>
        </r>
      </text>
    </comment>
    <comment ref="B72" authorId="0" shapeId="0" xr:uid="{BC81C1F1-8332-4983-9766-7C91671260FB}">
      <text>
        <r>
          <rPr>
            <sz val="9"/>
            <color indexed="81"/>
            <rFont val="Tahoma"/>
            <family val="2"/>
          </rPr>
          <t>Reuse rate=(Mass_reusable materials [kg])/(Mass_total output [kg] )</t>
        </r>
      </text>
    </comment>
    <comment ref="B73" authorId="0" shapeId="0" xr:uid="{CDDD307D-0AC9-43C9-AAB6-06277610B9F4}">
      <text>
        <r>
          <rPr>
            <sz val="9"/>
            <color indexed="81"/>
            <rFont val="Tahoma"/>
            <family val="2"/>
          </rPr>
          <t>Recycling rate=(Mass_materials going to recycling  [kg])/(Mass_total output [kg])</t>
        </r>
      </text>
    </comment>
    <comment ref="B74" authorId="0" shapeId="0" xr:uid="{964B3B5B-9241-4F81-AD8B-2E12A20CC1C6}">
      <text>
        <r>
          <rPr>
            <sz val="9"/>
            <color indexed="81"/>
            <rFont val="Tahoma"/>
            <family val="2"/>
          </rPr>
          <t>Recycling output rate=(Mass_materials after recycling [kg])/(Mass_total output [kg])</t>
        </r>
      </text>
    </comment>
    <comment ref="B75" authorId="0" shapeId="0" xr:uid="{F8EE3459-BE20-490D-9D38-19D08F13D742}">
      <text>
        <r>
          <rPr>
            <sz val="9"/>
            <color indexed="81"/>
            <rFont val="Tahoma"/>
            <family val="2"/>
          </rPr>
          <t>Share of renewable energy=(Energy input_renewable [MJ])/(Energy input_total [MJ])</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97BC552D-0D22-42B6-97B3-79E35DCFDABD}">
      <text>
        <r>
          <rPr>
            <sz val="9"/>
            <color indexed="81"/>
            <rFont val="Tahoma"/>
            <family val="2"/>
          </rPr>
          <t>Recycled content=(Mass secundary input [kg])/(Mass total input [kg])</t>
        </r>
      </text>
    </comment>
    <comment ref="B71" authorId="0" shapeId="0" xr:uid="{B5A9A2F2-4DE1-4E9B-A4C9-DB50DAB7C4A1}">
      <text>
        <r>
          <rPr>
            <sz val="9"/>
            <color indexed="81"/>
            <rFont val="Tahoma"/>
            <family val="2"/>
          </rPr>
          <t>Renewable content=(Mass renewable input [kg])/(Mass total input [kg])</t>
        </r>
      </text>
    </comment>
    <comment ref="B72" authorId="0" shapeId="0" xr:uid="{485670B9-E475-4A20-B16F-2EEC5F65F8DE}">
      <text>
        <r>
          <rPr>
            <sz val="9"/>
            <color indexed="81"/>
            <rFont val="Tahoma"/>
            <family val="2"/>
          </rPr>
          <t>Reuse rate=(Mass_reusable materials [kg])/(Mass_total output [kg] )</t>
        </r>
      </text>
    </comment>
    <comment ref="B73" authorId="0" shapeId="0" xr:uid="{EECF58B0-EBA4-4845-A262-70DF0460AB0F}">
      <text>
        <r>
          <rPr>
            <sz val="9"/>
            <color indexed="81"/>
            <rFont val="Tahoma"/>
            <family val="2"/>
          </rPr>
          <t>Recycling rate=(Mass_materials going to recycling  [kg])/(Mass_total output [kg])</t>
        </r>
      </text>
    </comment>
    <comment ref="B74" authorId="0" shapeId="0" xr:uid="{E5EF86C9-BDD2-4611-8DB2-9307192506FF}">
      <text>
        <r>
          <rPr>
            <sz val="9"/>
            <color indexed="81"/>
            <rFont val="Tahoma"/>
            <family val="2"/>
          </rPr>
          <t>Recycling output rate=(Mass_materials after recycling [kg])/(Mass_total output [kg])</t>
        </r>
      </text>
    </comment>
    <comment ref="B75" authorId="0" shapeId="0" xr:uid="{ED15AE9F-BC3B-4EA0-88CD-AD195519DDE1}">
      <text>
        <r>
          <rPr>
            <sz val="9"/>
            <color indexed="81"/>
            <rFont val="Tahoma"/>
            <family val="2"/>
          </rPr>
          <t>Share of renewable energy=(Energy input_renewable [MJ])/(Energy input_total [MJ])</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Van Dael Miet</author>
    <author>Francisco MENDEZ ALVA</author>
    <author>Mohammed Nazeer Khan</author>
    <author>Pieterjan Debergh</author>
    <author>Miet Van Dael</author>
    <author>Mohammed El Ibrahimi</author>
  </authors>
  <commentList>
    <comment ref="C5" authorId="0" shapeId="0" xr:uid="{6554377A-8BF5-46AB-9724-8614BDE47529}">
      <text>
        <r>
          <rPr>
            <sz val="9"/>
            <color indexed="81"/>
            <rFont val="Tahoma"/>
            <family val="2"/>
          </rPr>
          <t>1 = recommended; 
2 = recommended or problematic?; Problematic; 
3 = problematic or hazardous?; Hazardous; Highly hazardous</t>
        </r>
      </text>
    </comment>
    <comment ref="I5" authorId="0" shapeId="0" xr:uid="{789C7CAD-ED64-40D1-86C8-4A7CE92F3816}">
      <text>
        <r>
          <rPr>
            <sz val="9"/>
            <color indexed="81"/>
            <rFont val="Tahoma"/>
            <family val="2"/>
          </rPr>
          <t>1 = No Critical Raw Material
3 = Critical Raw Material</t>
        </r>
      </text>
    </comment>
    <comment ref="D6" authorId="1" shapeId="0" xr:uid="{87FC7CC1-5E67-477D-A237-BEF9C167C049}">
      <text>
        <r>
          <rPr>
            <sz val="11"/>
            <color theme="1"/>
            <rFont val="Calibri"/>
            <family val="2"/>
            <scheme val="minor"/>
          </rPr>
          <t>$3.50 - $10.00/kg [Alibaba, 2023]
2000 USD per tonne in 2019 [Market Insights Reports]</t>
        </r>
      </text>
    </comment>
    <comment ref="J6" authorId="2" shapeId="0" xr:uid="{849A1F32-9E2E-48DB-AD98-25AFDC4F6C9C}">
      <text>
        <r>
          <rPr>
            <sz val="11"/>
            <color theme="1"/>
            <rFont val="Calibri"/>
            <family val="2"/>
            <scheme val="minor"/>
          </rPr>
          <t>2280 - 2650 $/ton in 2023 [Daily metal prices]
1300 - 1800 eur/ton in 2015
1570 - 1680 eur/ton in 2019
[CRM factsheets 2020]</t>
        </r>
      </text>
    </comment>
    <comment ref="D7" authorId="1" shapeId="0" xr:uid="{431F5DB0-1BED-4F8C-A5A9-033D866FE350}">
      <text>
        <r>
          <rPr>
            <sz val="11"/>
            <color theme="1"/>
            <rFont val="Calibri"/>
            <family val="2"/>
            <scheme val="minor"/>
          </rPr>
          <t>766 USD/t [https://www.chemanalyst.com/Pricing-data/acetic-anhydride-1157]</t>
        </r>
      </text>
    </comment>
    <comment ref="J7" authorId="2" shapeId="0" xr:uid="{F2971171-B9C5-4DD3-9CA5-22822AF720FB}">
      <text>
        <r>
          <rPr>
            <sz val="11"/>
            <color theme="1"/>
            <rFont val="Calibri"/>
            <family val="2"/>
            <scheme val="minor"/>
          </rPr>
          <t>6600 $/ton in 2015
7800 $/ton in 2018
[CRM factsheets 2020]</t>
        </r>
      </text>
    </comment>
    <comment ref="D8" authorId="0" shapeId="0" xr:uid="{B9737D34-38F9-4B1F-BFA8-080650F684F0}">
      <text>
        <r>
          <rPr>
            <sz val="9"/>
            <color indexed="81"/>
            <rFont val="Tahoma"/>
            <family val="2"/>
          </rPr>
          <t>450-1000 between 2019 and 2020 [ICIS]</t>
        </r>
      </text>
    </comment>
    <comment ref="J8" authorId="1" shapeId="0" xr:uid="{8D74FB1A-5E17-460F-9EC0-9E05358CDE22}">
      <text>
        <r>
          <rPr>
            <sz val="11"/>
            <color theme="1"/>
            <rFont val="Calibri"/>
            <family val="2"/>
            <scheme val="minor"/>
          </rPr>
          <t>0.94-1.34 USD/lb 
2088-2977 USD/t [https://www.statista.com/statistics/797487/us-arsenic-average-price/; Consulted on 03/05/2023]
1448-6220 EUR/t [https://www.scrapmonster.com/metal-prices/country/europe/145; Consulted on 03/05/2023]
2350-2900 USD/t [https://dutch.alibaba.com/trade/search?tab=all&amp;searchText=Arsenic+; Consulted on 03/05/2023]</t>
        </r>
      </text>
    </comment>
    <comment ref="D9" authorId="1" shapeId="0" xr:uid="{EF1EEA75-BF16-470D-9171-F0354497BFB4}">
      <text>
        <r>
          <rPr>
            <sz val="11"/>
            <color theme="1"/>
            <rFont val="Calibri"/>
            <family val="2"/>
            <scheme val="minor"/>
          </rPr>
          <t>3295 USD/MT [Chemanalyst, 2022]</t>
        </r>
      </text>
    </comment>
    <comment ref="J9" authorId="2" shapeId="0" xr:uid="{3FCB66BA-BAD6-4123-9F08-972A27F10C56}">
      <text>
        <r>
          <rPr>
            <sz val="11"/>
            <color theme="1"/>
            <rFont val="Calibri"/>
            <family val="2"/>
            <scheme val="minor"/>
          </rPr>
          <t xml:space="preserve">194 $/ton in 2015
180 $/ton in 2018
[CRM factsheets 2020]
</t>
        </r>
      </text>
    </comment>
    <comment ref="D10" authorId="1" shapeId="0" xr:uid="{40CA1158-E9C2-438B-94EB-89A03D1CF2A4}">
      <text>
        <r>
          <rPr>
            <sz val="11"/>
            <color theme="1"/>
            <rFont val="Calibri"/>
            <family val="2"/>
            <scheme val="minor"/>
          </rPr>
          <t>744-940 USD/ton
Chemanalyst, 2022</t>
        </r>
      </text>
    </comment>
    <comment ref="J10" authorId="2" shapeId="0" xr:uid="{F93F2DCC-0A42-406B-B8AE-59D9A96A13C9}">
      <text>
        <r>
          <rPr>
            <sz val="11"/>
            <color theme="1"/>
            <rFont val="Calibri"/>
            <family val="2"/>
            <scheme val="minor"/>
          </rPr>
          <t>53 eur/ton in 2015
41-43 eur/ton in 2018
[CRM factsheets 2020]</t>
        </r>
      </text>
    </comment>
    <comment ref="D11" authorId="1" shapeId="0" xr:uid="{6C6B6E2A-3783-4D41-94B7-A52E62DBB568}">
      <text>
        <r>
          <rPr>
            <sz val="11"/>
            <color theme="1"/>
            <rFont val="Calibri"/>
            <family val="2"/>
            <scheme val="minor"/>
          </rPr>
          <t>4159-4289 USD/MT
Chemanalyst, 2022</t>
        </r>
      </text>
    </comment>
    <comment ref="J11" authorId="2" shapeId="0" xr:uid="{71982323-C798-4B72-89BD-B8EC531B7FA7}">
      <text>
        <r>
          <rPr>
            <sz val="11"/>
            <color theme="1"/>
            <rFont val="Calibri"/>
            <family val="2"/>
            <scheme val="minor"/>
          </rPr>
          <t xml:space="preserve">No price of pure beryllium available. Only Be alloy prices
500 $/kg in 2018 (Be-copper alloy
300-1500 eur/kg in 2016 (pure beryllium aerospace component)
200-500 eur/kg in 2016 (39% Be alloy aerospace component)
[CRM factsheets 2020]
</t>
        </r>
      </text>
    </comment>
    <comment ref="D12" authorId="0" shapeId="0" xr:uid="{AEA76AEB-6458-4B99-B1C5-69B61009855C}">
      <text>
        <r>
          <rPr>
            <sz val="9"/>
            <color indexed="81"/>
            <rFont val="Tahoma"/>
            <family val="2"/>
          </rPr>
          <t>250-1000 between 2016 and 2020 [ICIS]</t>
        </r>
      </text>
    </comment>
    <comment ref="J12" authorId="2" shapeId="0" xr:uid="{6CB24DC4-549B-44DB-A114-2E2B5E54A0BE}">
      <text>
        <r>
          <rPr>
            <sz val="11"/>
            <color theme="1"/>
            <rFont val="Calibri"/>
            <family val="2"/>
            <scheme val="minor"/>
          </rPr>
          <t>5.6 - 6.4 $/ton in 2019
[CRM factsheets 2020]</t>
        </r>
      </text>
    </comment>
    <comment ref="D13" authorId="1" shapeId="0" xr:uid="{F330EB97-276D-442F-83C8-1F80BAB75C3F}">
      <text>
        <r>
          <rPr>
            <sz val="11"/>
            <color theme="1"/>
            <rFont val="Calibri"/>
            <family val="2"/>
            <scheme val="minor"/>
          </rPr>
          <t>2805 USD/MT
Chemanalyst, 2022</t>
        </r>
      </text>
    </comment>
    <comment ref="J13" authorId="2" shapeId="0" xr:uid="{068410A0-9AC4-4445-8FB3-DEE455FED1D6}">
      <text>
        <r>
          <rPr>
            <sz val="11"/>
            <color theme="1"/>
            <rFont val="Calibri"/>
            <family val="2"/>
            <scheme val="minor"/>
          </rPr>
          <t>280 - 460 eur/ton in 2018 (various borate commodities)
[CRM factsheets 2020]</t>
        </r>
      </text>
    </comment>
    <comment ref="D14" authorId="0" shapeId="0" xr:uid="{8728431E-3593-438F-8C58-504E3FFC87E9}">
      <text>
        <r>
          <rPr>
            <sz val="9"/>
            <color indexed="81"/>
            <rFont val="Tahoma"/>
            <family val="2"/>
          </rPr>
          <t>800-1100 between 2017 and 2019 [ICIS]
900-1200 between 2019 and 2020 [ICIS]
950-1100 [ICIS]</t>
        </r>
      </text>
    </comment>
    <comment ref="J14" authorId="1" shapeId="0" xr:uid="{DF2A4F7A-083F-4450-8910-59D401EF32A9}">
      <text>
        <r>
          <rPr>
            <sz val="11"/>
            <color theme="1"/>
            <rFont val="Calibri"/>
            <family val="2"/>
            <scheme val="minor"/>
          </rPr>
          <t>4,477.18 -4,549.39 USD/t [https://www.metal.com/Other-Minor-Metals/201102250510; consulted 03/05/2023]</t>
        </r>
      </text>
    </comment>
    <comment ref="D15" authorId="3" shapeId="0" xr:uid="{E1A299F0-02CD-443F-A6EA-0DD5AEC5F6A6}">
      <text>
        <r>
          <rPr>
            <sz val="11"/>
            <color theme="1"/>
            <rFont val="Calibri"/>
            <family val="2"/>
            <scheme val="minor"/>
          </rPr>
          <t>700-800 USD/t in 2020 [Indexbox.io]
1250 USD/t in 2018 in China [Echemi]</t>
        </r>
      </text>
    </comment>
    <comment ref="J15" authorId="1" shapeId="0" xr:uid="{BDFE672E-6614-485D-BD55-6F8AAFDBC8D1}">
      <text>
        <r>
          <rPr>
            <sz val="11"/>
            <color theme="1"/>
            <rFont val="Calibri"/>
            <family val="2"/>
            <scheme val="minor"/>
          </rPr>
          <t>10,109.76 -10,831.89 USD/t [https://www.metal.com/Chromium/201102250234; consulted 03/05/2023]</t>
        </r>
      </text>
    </comment>
    <comment ref="D16" authorId="3" shapeId="0" xr:uid="{57856DAE-92FE-4EB0-A182-3A52F0A04C00}">
      <text>
        <r>
          <rPr>
            <sz val="11"/>
            <color theme="1"/>
            <rFont val="Calibri"/>
            <family val="2"/>
            <scheme val="minor"/>
          </rPr>
          <t>900-1000 euro/ton in 2018 in DE [Intratec]</t>
        </r>
      </text>
    </comment>
    <comment ref="J16" authorId="2" shapeId="0" xr:uid="{77C43555-F61A-4D20-A90A-8C03CE4A2C2C}">
      <text>
        <r>
          <rPr>
            <sz val="11"/>
            <color theme="1"/>
            <rFont val="Calibri"/>
            <family val="2"/>
            <scheme val="minor"/>
          </rPr>
          <t>35000 - 52500 $/ton in 2023 [Daily metal prices]</t>
        </r>
      </text>
    </comment>
    <comment ref="D17" authorId="1" shapeId="0" xr:uid="{9FA01E87-8E2D-491E-9F35-8836CE61D1B1}">
      <text>
        <r>
          <rPr>
            <sz val="11"/>
            <color theme="1"/>
            <rFont val="Calibri"/>
            <family val="2"/>
            <scheme val="minor"/>
          </rPr>
          <t xml:space="preserve">950 USD/MT [Chemanalyst, 2022]
</t>
        </r>
      </text>
    </comment>
    <comment ref="J17" authorId="2" shapeId="0" xr:uid="{E0E651AB-7359-414A-B00C-3D3F734C0ECC}">
      <text>
        <r>
          <rPr>
            <sz val="11"/>
            <color theme="1"/>
            <rFont val="Calibri"/>
            <family val="2"/>
            <scheme val="minor"/>
          </rPr>
          <t>100 eur/ton in 2015
160 eur/ton in 2018
[CRM factsheets 2020]</t>
        </r>
      </text>
    </comment>
    <comment ref="D18" authorId="0" shapeId="0" xr:uid="{6E011571-5EFD-4C18-B79B-7C5860C5B51B}">
      <text>
        <r>
          <rPr>
            <sz val="9"/>
            <color indexed="81"/>
            <rFont val="Tahoma"/>
            <family val="2"/>
          </rPr>
          <t>700-1100 between 2017-2018, follows price of benzene [ICIS]</t>
        </r>
      </text>
    </comment>
    <comment ref="J18" authorId="2" shapeId="0" xr:uid="{F9BEB39E-2852-425C-85AE-055413BA4D3D}">
      <text>
        <r>
          <rPr>
            <sz val="11"/>
            <color theme="1"/>
            <rFont val="Calibri"/>
            <family val="2"/>
            <scheme val="minor"/>
          </rPr>
          <t>8250 - 9400 $/ton in 2023 [Daily metal prices]</t>
        </r>
      </text>
    </comment>
    <comment ref="J19" authorId="2" shapeId="0" xr:uid="{E91A30F8-92B7-4DFF-BDE3-98CE466F6398}">
      <text>
        <r>
          <rPr>
            <sz val="11"/>
            <color theme="1"/>
            <rFont val="Calibri"/>
            <family val="2"/>
            <scheme val="minor"/>
          </rPr>
          <t>410 $/ton in 2023 [Chemanalyst]</t>
        </r>
      </text>
    </comment>
    <comment ref="D20" authorId="1" shapeId="0" xr:uid="{9BF174E9-F263-431E-AD4F-5FE37FA7891D}">
      <text>
        <r>
          <rPr>
            <sz val="11"/>
            <color theme="1"/>
            <rFont val="Calibri"/>
            <family val="2"/>
            <scheme val="minor"/>
          </rPr>
          <t xml:space="preserve">293 - 761 USD/MT [Chemanalyst, 2022]
</t>
        </r>
      </text>
    </comment>
    <comment ref="J20" authorId="2" shapeId="0" xr:uid="{AA9B0A47-A283-4EB6-90EE-487EAFAF207F}">
      <text>
        <r>
          <rPr>
            <sz val="11"/>
            <color theme="1"/>
            <rFont val="Calibri"/>
            <family val="2"/>
            <scheme val="minor"/>
          </rPr>
          <t>239000 - 300000 $/ton in 2023 [Daily metal prices]</t>
        </r>
      </text>
    </comment>
    <comment ref="D21" authorId="0" shapeId="0" xr:uid="{44A1D1BB-2C00-4A08-9081-D339D60729A0}">
      <text>
        <r>
          <rPr>
            <sz val="9"/>
            <color indexed="81"/>
            <rFont val="Tahoma"/>
            <family val="2"/>
          </rPr>
          <t>500-580 in 2017 [ICIS]</t>
        </r>
      </text>
    </comment>
    <comment ref="J21" authorId="2" shapeId="0" xr:uid="{F943FB71-D67B-44EC-A63F-D142023B188F}">
      <text>
        <r>
          <rPr>
            <sz val="11"/>
            <color theme="1"/>
            <rFont val="Calibri"/>
            <family val="2"/>
            <scheme val="minor"/>
          </rPr>
          <t>1300 $/kg in 2018 [CRM factsheets 2020]</t>
        </r>
      </text>
    </comment>
    <comment ref="D22" authorId="2" shapeId="0" xr:uid="{F890D63A-E645-420A-99BA-5DBCE28B460F}">
      <text>
        <r>
          <rPr>
            <sz val="11"/>
            <color theme="1"/>
            <rFont val="Calibri"/>
            <family val="2"/>
            <scheme val="minor"/>
          </rPr>
          <t>2872 USD/MT in 2018 [Intratec.us]</t>
        </r>
      </text>
    </comment>
    <comment ref="J22" authorId="2" shapeId="0" xr:uid="{A6CAF25D-C6EB-4866-AD3E-498B80ACE88A}">
      <text>
        <r>
          <rPr>
            <sz val="11"/>
            <color theme="1"/>
            <rFont val="Calibri"/>
            <family val="2"/>
            <scheme val="minor"/>
          </rPr>
          <t>58,200,000 - 65,600,000 $/ton in 2023 [Daily metal prices]</t>
        </r>
      </text>
    </comment>
    <comment ref="D23" authorId="1" shapeId="0" xr:uid="{5F894541-9D1F-4C7D-A4A2-041CC2D94EB9}">
      <text>
        <r>
          <rPr>
            <sz val="11"/>
            <color theme="1"/>
            <rFont val="Calibri"/>
            <family val="2"/>
            <scheme val="minor"/>
          </rPr>
          <t>3120 USD/MT
Chemanalyst, 2022</t>
        </r>
      </text>
    </comment>
    <comment ref="J23" authorId="2" shapeId="0" xr:uid="{A16F2E63-B1B2-43B9-8A9E-37089F580C05}">
      <text>
        <r>
          <rPr>
            <sz val="11"/>
            <color theme="1"/>
            <rFont val="Calibri"/>
            <family val="2"/>
            <scheme val="minor"/>
          </rPr>
          <t>850-1900 eur/kg in 2009-2017 [CRM factsheets 2020]</t>
        </r>
      </text>
    </comment>
    <comment ref="J25" authorId="1" shapeId="0" xr:uid="{E9BF3929-7A64-4617-AF31-5297EE140282}">
      <text>
        <r>
          <rPr>
            <sz val="11"/>
            <color theme="1"/>
            <rFont val="Calibri"/>
            <family val="2"/>
            <scheme val="minor"/>
          </rPr>
          <t>7.57 USD/m³ [https://pubs.usgs.gov/periodicals/mcs2020/mcs2020-helium.pdf]</t>
        </r>
      </text>
    </comment>
    <comment ref="J26" authorId="2" shapeId="0" xr:uid="{2131A10F-24AA-4905-B983-AE63368E2429}">
      <text>
        <r>
          <rPr>
            <sz val="11"/>
            <color theme="1"/>
            <rFont val="Calibri"/>
            <family val="2"/>
            <scheme val="minor"/>
          </rPr>
          <t>206000 - 230000 $/ton in 2023 [Daily metal prices]</t>
        </r>
      </text>
    </comment>
    <comment ref="J27" authorId="2" shapeId="0" xr:uid="{AC258A74-341B-48F7-9A78-B5E3EA26BB15}">
      <text>
        <r>
          <rPr>
            <sz val="11"/>
            <color theme="1"/>
            <rFont val="Calibri"/>
            <family val="2"/>
            <scheme val="minor"/>
          </rPr>
          <t>2020 - 2330 $/ton in 2023 [Daily metal prices]</t>
        </r>
      </text>
    </comment>
    <comment ref="D28" authorId="3" shapeId="0" xr:uid="{8B2B7E1B-88A9-4EFE-80AE-136E56DA3628}">
      <text>
        <r>
          <rPr>
            <sz val="11"/>
            <color theme="1"/>
            <rFont val="Calibri"/>
            <family val="2"/>
            <scheme val="minor"/>
          </rPr>
          <t>2700 USD/MT [Echemi]</t>
        </r>
      </text>
    </comment>
    <comment ref="D29" authorId="0" shapeId="0" xr:uid="{679A4B20-1970-445F-819D-787FE5111CE4}">
      <text>
        <r>
          <rPr>
            <sz val="9"/>
            <color indexed="81"/>
            <rFont val="Tahoma"/>
            <family val="2"/>
          </rPr>
          <t>1000 [Alibaba]</t>
        </r>
      </text>
    </comment>
    <comment ref="J29" authorId="2" shapeId="0" xr:uid="{3EC1E14D-FCB8-44FD-A82C-7AB63B727C8A}">
      <text>
        <r>
          <rPr>
            <sz val="11"/>
            <color theme="1"/>
            <rFont val="Calibri"/>
            <family val="2"/>
            <scheme val="minor"/>
          </rPr>
          <t>25000 - 76000 $/ton in 2023 [Daily metal prices]</t>
        </r>
      </text>
    </comment>
    <comment ref="D30" authorId="0" shapeId="0" xr:uid="{80B8709C-D4F5-4EAB-B992-B0286D32D7C5}">
      <text>
        <r>
          <rPr>
            <sz val="9"/>
            <color indexed="81"/>
            <rFont val="Tahoma"/>
            <family val="2"/>
          </rPr>
          <t>500-700 in 2019-2020 [ICIS]
825 average 2010-2019 [ICIS]</t>
        </r>
      </text>
    </comment>
    <comment ref="J30" authorId="2" shapeId="0" xr:uid="{0B30A7E8-A798-4D05-AD4A-022BFCDCBC22}">
      <text>
        <r>
          <rPr>
            <sz val="11"/>
            <color theme="1"/>
            <rFont val="Calibri"/>
            <family val="2"/>
            <scheme val="minor"/>
          </rPr>
          <t>2300-2750 $/ton in 2018 [CRM factsheets 2020]</t>
        </r>
      </text>
    </comment>
    <comment ref="D31" authorId="0" shapeId="0" xr:uid="{DF504E46-E15B-45D6-8847-53932EFCE07D}">
      <text>
        <r>
          <rPr>
            <sz val="9"/>
            <color indexed="81"/>
            <rFont val="Tahoma"/>
            <family val="2"/>
          </rPr>
          <t>1000 in 2018 [ICIS]</t>
        </r>
      </text>
    </comment>
    <comment ref="J31" authorId="1" shapeId="0" xr:uid="{88AD7F3E-5774-44D5-A112-42569E22FD6A}">
      <text>
        <r>
          <rPr>
            <sz val="11"/>
            <color theme="1"/>
            <rFont val="Calibri"/>
            <family val="2"/>
            <scheme val="minor"/>
          </rPr>
          <t>2,123.05 -2,151.94 USD/t [https://www.metal.com/Manganese/201106150014; consulted 03.04.2023]</t>
        </r>
      </text>
    </comment>
    <comment ref="D32" authorId="0" shapeId="0" xr:uid="{E2F8BF11-18C6-4F59-B87A-5C7D34E58162}">
      <text>
        <r>
          <rPr>
            <sz val="9"/>
            <color indexed="81"/>
            <rFont val="Tahoma"/>
            <family val="2"/>
          </rPr>
          <t xml:space="preserve">600-750 for industry </t>
        </r>
      </text>
    </comment>
    <comment ref="J32" authorId="2" shapeId="0" xr:uid="{B30FC94C-08DF-4FE3-ABD1-2539EFA1ED76}">
      <text>
        <r>
          <rPr>
            <sz val="11"/>
            <color theme="1"/>
            <rFont val="Calibri"/>
            <family val="2"/>
            <scheme val="minor"/>
          </rPr>
          <t>1132 $/ton in 2018 [CRM factsheets 2020]</t>
        </r>
      </text>
    </comment>
    <comment ref="D33" authorId="0" shapeId="0" xr:uid="{F3E1594C-6D34-49F4-AFF2-A474B84F9A52}">
      <text>
        <r>
          <rPr>
            <sz val="9"/>
            <color indexed="81"/>
            <rFont val="Tahoma"/>
            <family val="2"/>
          </rPr>
          <t>1300 average 2010-2019 [ICIS]</t>
        </r>
      </text>
    </comment>
    <comment ref="J33" authorId="2" shapeId="0" xr:uid="{95C122AE-C325-47D5-853C-C3986B641F82}">
      <text>
        <r>
          <rPr>
            <sz val="11"/>
            <color theme="1"/>
            <rFont val="Calibri"/>
            <family val="2"/>
            <scheme val="minor"/>
          </rPr>
          <t>1.5-2 $/kg in 2019 [CRM factsheets 2020]</t>
        </r>
      </text>
    </comment>
    <comment ref="I34" authorId="4" shapeId="0" xr:uid="{FD004E23-BC40-4869-B51E-E4321AA368F2}">
      <text>
        <r>
          <rPr>
            <sz val="9"/>
            <color indexed="81"/>
            <rFont val="Tahoma"/>
            <charset val="1"/>
          </rPr>
          <t>Battery grade</t>
        </r>
      </text>
    </comment>
    <comment ref="J34" authorId="2" shapeId="0" xr:uid="{8BCEC124-AE11-4522-895C-1B57A3B9C02F}">
      <text>
        <r>
          <rPr>
            <sz val="11"/>
            <color theme="1"/>
            <rFont val="Calibri"/>
            <family val="2"/>
            <scheme val="minor"/>
          </rPr>
          <t>22200 - 31000 $/ton in 2023 [Daily metal prices]</t>
        </r>
      </text>
    </comment>
    <comment ref="J35" authorId="2" shapeId="0" xr:uid="{5AE8546A-9236-4DAD-AFC9-24CD90D293D5}">
      <text>
        <r>
          <rPr>
            <sz val="11"/>
            <color theme="1"/>
            <rFont val="Calibri"/>
            <family val="2"/>
            <scheme val="minor"/>
          </rPr>
          <t>30-35 $/ton in 2019
[CRM factsheets 2020]</t>
        </r>
      </text>
    </comment>
    <comment ref="D36" authorId="0" shapeId="0" xr:uid="{AF65B952-8827-44CF-83DE-03AA3D687DFA}">
      <text>
        <r>
          <rPr>
            <sz val="9"/>
            <color indexed="81"/>
            <rFont val="Tahoma"/>
            <family val="2"/>
          </rPr>
          <t>700-800 from 2019 to 2020 [ICIS]</t>
        </r>
      </text>
    </comment>
    <comment ref="J36" authorId="2" shapeId="0" xr:uid="{9819E0FF-B8A6-4F5D-9758-02D32FDB2B45}">
      <text>
        <r>
          <rPr>
            <sz val="11"/>
            <color theme="1"/>
            <rFont val="Calibri"/>
            <family val="2"/>
            <scheme val="minor"/>
          </rPr>
          <t>84.5 eur/ton in 2019
[CRM factsheets 2020]</t>
        </r>
      </text>
    </comment>
    <comment ref="J37" authorId="2" shapeId="0" xr:uid="{B149DF1A-33D7-45EC-8586-A82407FAE20D}">
      <text>
        <r>
          <rPr>
            <sz val="11"/>
            <color theme="1"/>
            <rFont val="Calibri"/>
            <family val="2"/>
            <scheme val="minor"/>
          </rPr>
          <t>180-450 eur/ton in 2019 [CRM factsheets 2020]</t>
        </r>
      </text>
    </comment>
    <comment ref="D38" authorId="3" shapeId="0" xr:uid="{B20F27E3-E007-46FB-905A-FF7ABADBABA8}">
      <text>
        <r>
          <rPr>
            <sz val="11"/>
            <color theme="1"/>
            <rFont val="Calibri"/>
            <family val="2"/>
            <scheme val="minor"/>
          </rPr>
          <t>1300-2000 USD/MT [ChemAnalyst]</t>
        </r>
      </text>
    </comment>
    <comment ref="J38" authorId="2" shapeId="0" xr:uid="{52F47923-9514-4FE9-8FBD-11793AE0A10C}">
      <text>
        <r>
          <rPr>
            <sz val="11"/>
            <color theme="1"/>
            <rFont val="Calibri"/>
            <family val="2"/>
            <scheme val="minor"/>
          </rPr>
          <t>Iridium: 1490 $/troy oz in 2019
Platinum: 720-790 eur/troy oz in 2019
Palladium: 1200-1380 eur/troy oz in 2019
Rhodium: 3000-5200 $/troy oz in 2019
Ruthenium: 250-280 $/troy oz
Platinum - 29400000 - 35000000 $/ton in 2023 [Daily metal prices]</t>
        </r>
      </text>
    </comment>
    <comment ref="J39" authorId="1" shapeId="0" xr:uid="{41E42C41-5827-40B2-B90B-A4B359A65462}">
      <text>
        <r>
          <rPr>
            <sz val="11"/>
            <color theme="1"/>
            <rFont val="Calibri"/>
            <family val="2"/>
            <scheme val="minor"/>
          </rPr>
          <t>2,310.8 -2,599.65 USD/kg [https://www.metal.com/Other-Minor-Metals/201102250036; consulted 03.05.2023]</t>
        </r>
      </text>
    </comment>
    <comment ref="D40" authorId="0" shapeId="0" xr:uid="{A28C6DC0-A177-4810-A0BB-206F47821909}">
      <text>
        <r>
          <rPr>
            <sz val="9"/>
            <color indexed="81"/>
            <rFont val="Tahoma"/>
            <family val="2"/>
          </rPr>
          <t>1200 in 2018 [ICIS]</t>
        </r>
      </text>
    </comment>
    <comment ref="J40" authorId="2" shapeId="0" xr:uid="{7B24F9D5-DC3A-4DCA-8263-6272D8614383}">
      <text>
        <r>
          <rPr>
            <sz val="11"/>
            <color theme="1"/>
            <rFont val="Calibri"/>
            <family val="2"/>
            <scheme val="minor"/>
          </rPr>
          <t>1000 $/ton in 2019
[CRM factsheets 2020]</t>
        </r>
      </text>
    </comment>
    <comment ref="J41" authorId="1" shapeId="0" xr:uid="{42A0320B-43C2-40A7-9601-85162842B774}">
      <text>
        <r>
          <rPr>
            <sz val="11"/>
            <color theme="1"/>
            <rFont val="Calibri"/>
            <family val="2"/>
            <scheme val="minor"/>
          </rPr>
          <t>79.43 -98.21 USD/kg [https://www.metal.com/Bismuth-Selenium-Tellurium/202211140001; Consulted 03.05.2023]</t>
        </r>
      </text>
    </comment>
    <comment ref="D42" authorId="0" shapeId="0" xr:uid="{CFD19418-B26E-451E-AFC7-2BFCDC544BBC}">
      <text>
        <r>
          <rPr>
            <sz val="9"/>
            <color indexed="81"/>
            <rFont val="Tahoma"/>
            <family val="2"/>
          </rPr>
          <t>Average 2022 - 537
Average 2021: 425
[https://www.methanex.com/our-business/pricing]
332 average 2010-2019 [ICIS]</t>
        </r>
      </text>
    </comment>
    <comment ref="J42" authorId="2" shapeId="0" xr:uid="{F97BA50F-B303-4C1D-8539-463AB416AD7A}">
      <text>
        <r>
          <rPr>
            <sz val="11"/>
            <color theme="1"/>
            <rFont val="Calibri"/>
            <family val="2"/>
            <scheme val="minor"/>
          </rPr>
          <t>2600 $/ton in 2017
[CRM factsheets 2020]</t>
        </r>
      </text>
    </comment>
    <comment ref="J43" authorId="2" shapeId="0" xr:uid="{171A28CD-CA86-4A5E-B32E-1CD5A95D7919}">
      <text>
        <r>
          <rPr>
            <sz val="11"/>
            <color theme="1"/>
            <rFont val="Calibri"/>
            <family val="2"/>
            <scheme val="minor"/>
          </rPr>
          <t>645000 - 840000 $/ton in 2023 [Daily metal prices]</t>
        </r>
      </text>
    </comment>
    <comment ref="J44" authorId="2" shapeId="0" xr:uid="{FE988AA1-3E57-4543-A975-FB855B0EE4BA}">
      <text>
        <r>
          <rPr>
            <sz val="11"/>
            <color theme="1"/>
            <rFont val="Calibri"/>
            <family val="2"/>
            <scheme val="minor"/>
          </rPr>
          <t>400-500 $/ton in 2018 (not sure of the prices)
[CRM factsheets 2020]</t>
        </r>
      </text>
    </comment>
    <comment ref="D45" authorId="0" shapeId="0" xr:uid="{E9C0BF3F-7D1D-4E00-BE3F-259B93FB2562}">
      <text>
        <r>
          <rPr>
            <sz val="9"/>
            <color indexed="81"/>
            <rFont val="Tahoma"/>
            <family val="2"/>
          </rPr>
          <t>1400-1500 in 2018 [ICIS]</t>
        </r>
      </text>
    </comment>
    <comment ref="J45" authorId="2" shapeId="0" xr:uid="{D1F2F08F-0011-49E3-93CC-B9673AFB8581}">
      <text>
        <r>
          <rPr>
            <sz val="11"/>
            <color theme="1"/>
            <rFont val="Calibri"/>
            <family val="2"/>
            <scheme val="minor"/>
          </rPr>
          <t>270 $/kg in 2018 (Ta2O5)
[CRM factsheets 2020]</t>
        </r>
      </text>
    </comment>
    <comment ref="D46" authorId="0" shapeId="0" xr:uid="{519A9534-3ED3-4B1B-9C67-44474AE4D6FE}">
      <text>
        <r>
          <rPr>
            <sz val="9"/>
            <color indexed="81"/>
            <rFont val="Tahoma"/>
            <family val="2"/>
          </rPr>
          <t>550-750 [ICIS]</t>
        </r>
      </text>
    </comment>
    <comment ref="J46" authorId="2" shapeId="0" xr:uid="{E4A6427E-047D-40CD-9A15-4905BED52083}">
      <text>
        <r>
          <rPr>
            <sz val="11"/>
            <color theme="1"/>
            <rFont val="Calibri"/>
            <family val="2"/>
            <scheme val="minor"/>
          </rPr>
          <t>22175 - 32000 $/ton in 2023 [London metal exchange]</t>
        </r>
      </text>
    </comment>
    <comment ref="D47" authorId="5" shapeId="0" xr:uid="{DA9BC944-E9F5-4319-8D39-C73CFC85621F}">
      <text>
        <r>
          <rPr>
            <sz val="11"/>
            <color theme="1"/>
            <rFont val="Calibri"/>
            <family val="2"/>
            <scheme val="minor"/>
          </rPr>
          <t>1754 $/ton (1610 €/ton) [ChemAnalyst, 2023]</t>
        </r>
      </text>
    </comment>
    <comment ref="J47" authorId="2" shapeId="0" xr:uid="{7A229BF9-2DF2-4F7F-B9A6-B6E141F33C31}">
      <text>
        <r>
          <rPr>
            <sz val="11"/>
            <color theme="1"/>
            <rFont val="Calibri"/>
            <family val="2"/>
            <scheme val="minor"/>
          </rPr>
          <t>4000-5000 $/ton in 2019
[CRM factsheets 2020]</t>
        </r>
      </text>
    </comment>
    <comment ref="J48" authorId="2" shapeId="0" xr:uid="{6716C48C-E773-4D9F-AFCB-48B771571474}">
      <text>
        <r>
          <rPr>
            <sz val="11"/>
            <color theme="1"/>
            <rFont val="Calibri"/>
            <family val="2"/>
            <scheme val="minor"/>
          </rPr>
          <t>330 $/mtu in 2018 (mtu = metric ton unit = 10kg)
[CRM factsheets 2020]</t>
        </r>
      </text>
    </comment>
    <comment ref="D49" authorId="5" shapeId="0" xr:uid="{B2B83EC9-9654-4715-BCE5-772F6EF9536F}">
      <text>
        <r>
          <rPr>
            <sz val="11"/>
            <color theme="1"/>
            <rFont val="Calibri"/>
            <family val="2"/>
            <scheme val="minor"/>
          </rPr>
          <t>2$/L (1860 €/ton) [Ashkanani et al., 2020]</t>
        </r>
      </text>
    </comment>
    <comment ref="J49" authorId="2" shapeId="0" xr:uid="{7CFBC148-5DCF-4CEE-82E8-86951A49F3EA}">
      <text>
        <r>
          <rPr>
            <sz val="11"/>
            <color theme="1"/>
            <rFont val="Calibri"/>
            <family val="2"/>
            <scheme val="minor"/>
          </rPr>
          <t>25-70 $/kg in 2019
[CRM factsheets 2020]</t>
        </r>
      </text>
    </comment>
    <comment ref="D50" authorId="5" shapeId="0" xr:uid="{89A5F6D9-596C-4240-870F-48A2D84BFBA3}">
      <text>
        <r>
          <rPr>
            <sz val="11"/>
            <color theme="1"/>
            <rFont val="Calibri"/>
            <family val="2"/>
            <scheme val="minor"/>
          </rPr>
          <t>672.31-751.24 €/ton [Alibaba]</t>
        </r>
      </text>
    </comment>
    <comment ref="J50" authorId="2" shapeId="0" xr:uid="{A51167B9-D82F-4CC4-B632-BEA7C8EEE7D0}">
      <text>
        <r>
          <rPr>
            <sz val="11"/>
            <color theme="1"/>
            <rFont val="Calibri"/>
            <family val="2"/>
            <scheme val="minor"/>
          </rPr>
          <t>2610 - 3510 $/ton in 2023 [London metal exchange]</t>
        </r>
      </text>
    </comment>
    <comment ref="D51" authorId="1" shapeId="0" xr:uid="{2E89693B-E366-48AC-97FC-06EF7228D32D}">
      <text>
        <r>
          <rPr>
            <sz val="11"/>
            <color theme="1"/>
            <rFont val="Calibri"/>
            <family val="2"/>
            <scheme val="minor"/>
          </rPr>
          <t>4475 USD/t [Intratec, 2018 via https://www.intratec.us/chemical-markets/pyridine-price]</t>
        </r>
      </text>
    </comment>
    <comment ref="J51" authorId="1" shapeId="0" xr:uid="{712AE627-A599-4A66-AA67-166BA4DE5152}">
      <text>
        <r>
          <rPr>
            <sz val="11"/>
            <color theme="1"/>
            <rFont val="Calibri"/>
            <family val="2"/>
            <scheme val="minor"/>
          </rPr>
          <t>4,043.91 -4,332.76 USD/t [https://www.metal.com/Other-Minor-Metals/202302020006; consulted 03.04.2023]</t>
        </r>
      </text>
    </comment>
    <comment ref="D52" authorId="3" shapeId="0" xr:uid="{C332D1E6-4A32-4930-9954-A36EA2B84356}">
      <text>
        <r>
          <rPr>
            <sz val="11"/>
            <color theme="1"/>
            <rFont val="Calibri"/>
            <family val="2"/>
            <scheme val="minor"/>
          </rPr>
          <t>3000-3500 USD/t [alibaba]</t>
        </r>
      </text>
    </comment>
    <comment ref="D53" authorId="1" shapeId="0" xr:uid="{F4F9CBA7-DFD4-460A-8651-08859C07A052}">
      <text>
        <r>
          <rPr>
            <sz val="11"/>
            <color theme="1"/>
            <rFont val="Calibri"/>
            <family val="2"/>
            <scheme val="minor"/>
          </rPr>
          <t>3200 USD/ton 
ChemAnalyst, 2022</t>
        </r>
      </text>
    </comment>
    <comment ref="D54" authorId="1" shapeId="0" xr:uid="{D6B509E0-2DFD-422D-8EAD-E77ACE0B5427}">
      <text>
        <r>
          <rPr>
            <sz val="11"/>
            <color theme="1"/>
            <rFont val="Calibri"/>
            <family val="2"/>
            <scheme val="minor"/>
          </rPr>
          <t>2480 USD/MT
ChemAnalyst, 2022</t>
        </r>
      </text>
    </comment>
    <comment ref="D55" authorId="0" shapeId="0" xr:uid="{8E8DFED6-B8A5-400F-B01E-5196739B2468}">
      <text>
        <r>
          <rPr>
            <sz val="9"/>
            <color indexed="81"/>
            <rFont val="Tahoma"/>
            <family val="2"/>
          </rPr>
          <t>700-800 in 2019 [ICIS]</t>
        </r>
      </text>
    </comment>
    <comment ref="E56" authorId="0" shapeId="0" xr:uid="{080F24D1-72FF-434D-9D78-26515A1BA0F4}">
      <text>
        <r>
          <rPr>
            <sz val="9"/>
            <color indexed="81"/>
            <rFont val="Tahoma"/>
            <family val="2"/>
          </rPr>
          <t>0.000149 kg CO2eq/kg [https://www.gov.uk/government/publications/greenhouse-gas-reporting-conversion-factors-2022]
0.000177 kg CO2 eq./kg [UK Government GHG Conversion Factors for Company Reporting: https://www.gov.uk/government/publications/greenhouse-gas-reporting-conversion-factors-2023]</t>
        </r>
      </text>
    </comment>
    <comment ref="D57" authorId="0" shapeId="0" xr:uid="{B0C0045F-B237-4D7D-B110-2C9E299A7835}">
      <text>
        <r>
          <rPr>
            <sz val="9"/>
            <color indexed="81"/>
            <rFont val="Tahoma"/>
            <family val="2"/>
          </rPr>
          <t>650-800 in 2019 [ICIS]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<sst xmlns="http://schemas.openxmlformats.org/spreadsheetml/2006/main" count="1639" uniqueCount="615">
  <si>
    <t xml:space="preserve">Introduction </t>
  </si>
  <si>
    <t xml:space="preserve">Background and purpose of the template </t>
  </si>
  <si>
    <r>
      <t>The goal of the Moonshot program is to support projects that aim at providing solutions that help the (chemical) industry in Flanders to become CO</t>
    </r>
    <r>
      <rPr>
        <vertAlign val="subscript"/>
        <sz val="9"/>
        <color rgb="FF000000"/>
        <rFont val="Verdana"/>
        <family val="2"/>
      </rPr>
      <t>2</t>
    </r>
    <r>
      <rPr>
        <sz val="9"/>
        <color rgb="FF000000"/>
        <rFont val="Verdana"/>
        <family val="2"/>
      </rPr>
      <t xml:space="preserve"> neutral by 2050. 
The goal of this template is to provide guidance in the valorisation and sustainability assessment of Moonshot projects taking the overall Moonshot objective and specific MOT KPIs into account. 
The template and guidelines are based on principles of TEA and LCA, however, are too limited to be used as a full TEA and LCA. The template is obliged during the execution of the approved Moonshot projects and is one of the deliverables that need to be submitted to Vlaio. Mid-term the project, a meeting with the advisory board members needs to be organized to discuss the results of the sustainability assessment. 
The goals are the following: 
I.	To have a substantiated estimate of the economic and climate change impacts with the aim to identify the hot-spots (i.e. understand where the impact is coming from) and with these to update research targets from the proposal phase and define the next steps towards implementation (i.e. technology roadmap and follow-up trajectory); 
II.	To compare the economic and climate change impact with state-of-the-art and emerging technologies; 
III.	To understand the contribution of a project to the specific MOT goals and KPIs;
IV.	To specify what is required for a successful implementation. 
Detailed guidelines are available in the document titled "methodological framework for the sustainability assessment of MOONSHOT initiatives".</t>
    </r>
  </si>
  <si>
    <t>Template developers</t>
  </si>
  <si>
    <t xml:space="preserve">The template and framework are developed by a consortium led by VITO and subcontractors Deloitte, Antwerp University, KU Leuven and Ghent University. 
The template and accompanying sustainability framework are commissioned by Vlaio. </t>
  </si>
  <si>
    <t>Contact information</t>
  </si>
  <si>
    <t xml:space="preserve">For questions related to the template, please use one of the following e-mail addresses: </t>
  </si>
  <si>
    <r>
      <t xml:space="preserve">- Helpdesk - </t>
    </r>
    <r>
      <rPr>
        <sz val="9"/>
        <color theme="4"/>
        <rFont val="Verdana"/>
        <family val="2"/>
      </rPr>
      <t>moonshot.sustainabilityframework@vito.be</t>
    </r>
  </si>
  <si>
    <r>
      <t xml:space="preserve">- Catalisti - </t>
    </r>
    <r>
      <rPr>
        <sz val="9"/>
        <color theme="4"/>
        <rFont val="Verdana"/>
        <family val="2"/>
      </rPr>
      <t>moonshot@catalisti.be</t>
    </r>
  </si>
  <si>
    <t>Legend</t>
  </si>
  <si>
    <t>Worksheets</t>
  </si>
  <si>
    <t>Name</t>
  </si>
  <si>
    <t xml:space="preserve">Description </t>
  </si>
  <si>
    <t>Examples</t>
  </si>
  <si>
    <t>Intro</t>
  </si>
  <si>
    <t xml:space="preserve">Information on background and purpose of template, overview of worksheets and some general agreements. </t>
  </si>
  <si>
    <t>Dashboard results</t>
  </si>
  <si>
    <t xml:space="preserve">A summary of the main results is automatically generated in this dashboard based on the calculations in the other worksheets. </t>
  </si>
  <si>
    <t>Project</t>
  </si>
  <si>
    <t>Add general administrative information on your project.</t>
  </si>
  <si>
    <t xml:space="preserve">Title, budget, partners,… </t>
  </si>
  <si>
    <t>Technology</t>
  </si>
  <si>
    <t xml:space="preserve">Describe your process, the benchmark technologies and the goals and scope of the sustainability assessment. </t>
  </si>
  <si>
    <t xml:space="preserve">Benchmark technologies, advantages of your technology, fit with the value chain and interested companies. </t>
  </si>
  <si>
    <t xml:space="preserve">Market </t>
  </si>
  <si>
    <t>Describe market information for your targetted product(s) and an overview of relevant policy documents.</t>
  </si>
  <si>
    <t xml:space="preserve">Price, production volume, CAGR, applications, link with roadmaps and regulation, link with MOT objective, link with other projects, interaction with companies and valoriation objectives. </t>
  </si>
  <si>
    <t>Pathway definition and results</t>
  </si>
  <si>
    <t xml:space="preserve">On this worksheet an overview of different pathways can be added. Furthermore, (sub)scenarios can be defined that allow to quickly see the impact of changes in defined parameters. Also, an overview of your main findings from the sustainability assessment is added here. </t>
  </si>
  <si>
    <t>Overview of the pathways, Impact availability of residue heat, subsidies, scale, summary of the results</t>
  </si>
  <si>
    <t xml:space="preserve">Data - technical </t>
  </si>
  <si>
    <t>Add all technical input parameters for your mass and energy balance calculations, including the references. Calculations are performed on the pathway worksheet.</t>
  </si>
  <si>
    <t xml:space="preserve">Yield, energy use, catalyst use, material choices,… </t>
  </si>
  <si>
    <t>Data - economic</t>
  </si>
  <si>
    <t>Add all economic input parameters for your calculations of the economic indicators, including the references. Calculations are performed on the pathway worksheet.</t>
  </si>
  <si>
    <t>CAPEX, OPEX, revenues</t>
  </si>
  <si>
    <t xml:space="preserve">Data - environmental </t>
  </si>
  <si>
    <t>Add all environmental input parameters for your calculations of the environmental impact indicator, including the references (mainly characterization factors). Calculations are performed on the pathway worksheet.</t>
  </si>
  <si>
    <r>
      <rPr>
        <sz val="9"/>
        <color rgb="FFA6A6A6"/>
        <rFont val="Verdana"/>
        <family val="2"/>
      </rPr>
      <t>CO</t>
    </r>
    <r>
      <rPr>
        <vertAlign val="subscript"/>
        <sz val="9"/>
        <color rgb="FFA6A6A6"/>
        <rFont val="Verdana"/>
        <family val="2"/>
      </rPr>
      <t>2</t>
    </r>
    <r>
      <rPr>
        <sz val="9"/>
        <color rgb="FFA6A6A6"/>
        <rFont val="Verdana"/>
        <family val="2"/>
      </rPr>
      <t xml:space="preserve"> impact of electricity in kg CO2-equivalent per kWh</t>
    </r>
  </si>
  <si>
    <t xml:space="preserve">Data - general </t>
  </si>
  <si>
    <t>Add general information that is needed for the calculations that are not fixed values. Calculations are performed on the pathway worksheet.</t>
  </si>
  <si>
    <t>CEPCI, regression function, conversion factors,…</t>
  </si>
  <si>
    <t>1. Pathway 1</t>
  </si>
  <si>
    <t>Calculation sheet for one pathway. Calculations of the mass and energy balance, the economic and environmental indicators are included here. This sheet also includes the PFD. The sheets for Pathway 2 ("2. Pathway 2"), 3 ("3. Pathway 3") and 4 ("4. Pathway 4") should be unhidden if multiple pathways are defined.</t>
  </si>
  <si>
    <t>PFD, mass and energy balance, economic indicators, environmental indicators</t>
  </si>
  <si>
    <t>Color code used in the template</t>
  </si>
  <si>
    <t>Technological related worksheets and information</t>
  </si>
  <si>
    <t>Economic related worksheets and information</t>
  </si>
  <si>
    <t>Environmental related worksheets and information</t>
  </si>
  <si>
    <t>xxx</t>
  </si>
  <si>
    <t xml:space="preserve">Fixed input values that are used in the calculation sheets. These can be pre-defined values or values provided by the researchers. These values can be varied in the sensitivity analysis. </t>
  </si>
  <si>
    <t xml:space="preserve">Calculated/linked values that are used in the calculation sheets. These cannot be used in the sensitivity analysis as these are dependent on other cells. This color code should not be added on the calculation worksheet.  </t>
  </si>
  <si>
    <t xml:space="preserve">Values that are interesting to know, but that are not used in calculation sheets. Changing these values does not have any effect on the calculations. These values can also not be used in the sensitivity analysis.  </t>
  </si>
  <si>
    <t xml:space="preserve">Cells should not contain any content. </t>
  </si>
  <si>
    <t>Standard formulas</t>
  </si>
  <si>
    <t>To make the models dynamic, some standard formula structures are provided. These formula structures need to be used. 
The bold parts need to be replaced in the formulas. The row number 'xx' in column F, needs to be replaced with the row number where the year is indicated. 
Depreciation: linear depreciation is used in the template.</t>
  </si>
  <si>
    <t>Reinvestment cost</t>
  </si>
  <si>
    <r>
      <t>IF(e_ecolifetime_yr=</t>
    </r>
    <r>
      <rPr>
        <b/>
        <sz val="9"/>
        <color theme="1"/>
        <rFont val="Verdana"/>
        <family val="2"/>
      </rPr>
      <t>lifetime installation</t>
    </r>
    <r>
      <rPr>
        <sz val="9"/>
        <color theme="1"/>
        <rFont val="Verdana"/>
        <family val="2"/>
      </rPr>
      <t>;0;IF(F</t>
    </r>
    <r>
      <rPr>
        <b/>
        <sz val="9"/>
        <color theme="1"/>
        <rFont val="Verdana"/>
        <family val="2"/>
      </rPr>
      <t>xx</t>
    </r>
    <r>
      <rPr>
        <sz val="9"/>
        <color theme="1"/>
        <rFont val="Verdana"/>
        <family val="2"/>
      </rPr>
      <t>&gt;=e_ecolifetime_yr;0;IF(ROUNDDOWN((F</t>
    </r>
    <r>
      <rPr>
        <b/>
        <sz val="9"/>
        <color theme="1"/>
        <rFont val="Verdana"/>
        <family val="2"/>
      </rPr>
      <t>xx</t>
    </r>
    <r>
      <rPr>
        <sz val="9"/>
        <color theme="1"/>
        <rFont val="Verdana"/>
        <family val="2"/>
      </rPr>
      <t>/</t>
    </r>
    <r>
      <rPr>
        <b/>
        <sz val="9"/>
        <color theme="1"/>
        <rFont val="Verdana"/>
        <family val="2"/>
      </rPr>
      <t>lifetime installation</t>
    </r>
    <r>
      <rPr>
        <sz val="9"/>
        <color theme="1"/>
        <rFont val="Verdana"/>
        <family val="2"/>
      </rPr>
      <t>);0)=(F</t>
    </r>
    <r>
      <rPr>
        <b/>
        <sz val="9"/>
        <color theme="1"/>
        <rFont val="Verdana"/>
        <family val="2"/>
      </rPr>
      <t>xx</t>
    </r>
    <r>
      <rPr>
        <sz val="9"/>
        <color theme="1"/>
        <rFont val="Verdana"/>
        <family val="2"/>
      </rPr>
      <t>/</t>
    </r>
    <r>
      <rPr>
        <b/>
        <sz val="9"/>
        <color theme="1"/>
        <rFont val="Verdana"/>
        <family val="2"/>
      </rPr>
      <t>lifetime installation</t>
    </r>
    <r>
      <rPr>
        <sz val="9"/>
        <color theme="1"/>
        <rFont val="Verdana"/>
        <family val="2"/>
      </rPr>
      <t>);</t>
    </r>
    <r>
      <rPr>
        <b/>
        <sz val="9"/>
        <color theme="1"/>
        <rFont val="Verdana"/>
        <family val="2"/>
      </rPr>
      <t>investment cost formula</t>
    </r>
    <r>
      <rPr>
        <sz val="9"/>
        <color theme="1"/>
        <rFont val="Verdana"/>
        <family val="2"/>
      </rPr>
      <t>;0))</t>
    </r>
  </si>
  <si>
    <t>Operational cost/Revenues</t>
  </si>
  <si>
    <r>
      <t>IF(F</t>
    </r>
    <r>
      <rPr>
        <b/>
        <sz val="9"/>
        <color theme="1"/>
        <rFont val="Verdana"/>
        <family val="2"/>
      </rPr>
      <t>xx</t>
    </r>
    <r>
      <rPr>
        <sz val="9"/>
        <color theme="1"/>
        <rFont val="Verdana"/>
        <family val="2"/>
      </rPr>
      <t>&gt;e_ecolifetime_yr;0;</t>
    </r>
    <r>
      <rPr>
        <b/>
        <sz val="9"/>
        <color theme="1"/>
        <rFont val="Verdana"/>
        <family val="2"/>
      </rPr>
      <t>formula OPEX/revenues</t>
    </r>
    <r>
      <rPr>
        <sz val="9"/>
        <color theme="1"/>
        <rFont val="Verdana"/>
        <family val="2"/>
      </rPr>
      <t>)</t>
    </r>
  </si>
  <si>
    <t>Depreciation</t>
  </si>
  <si>
    <r>
      <t>IF(F</t>
    </r>
    <r>
      <rPr>
        <b/>
        <sz val="9"/>
        <color theme="1"/>
        <rFont val="Verdana"/>
        <family val="2"/>
      </rPr>
      <t>xx</t>
    </r>
    <r>
      <rPr>
        <sz val="9"/>
        <color theme="1"/>
        <rFont val="Verdana"/>
        <family val="2"/>
      </rPr>
      <t>&gt;e_ecolifetime_yr;0;</t>
    </r>
    <r>
      <rPr>
        <b/>
        <sz val="9"/>
        <color theme="1"/>
        <rFont val="Verdana"/>
        <family val="2"/>
      </rPr>
      <t>investment installation</t>
    </r>
    <r>
      <rPr>
        <sz val="9"/>
        <color theme="1"/>
        <rFont val="Verdana"/>
        <family val="2"/>
      </rPr>
      <t>/</t>
    </r>
    <r>
      <rPr>
        <b/>
        <sz val="9"/>
        <color theme="1"/>
        <rFont val="Verdana"/>
        <family val="2"/>
      </rPr>
      <t>lifetime installation</t>
    </r>
    <r>
      <rPr>
        <sz val="9"/>
        <color theme="1"/>
        <rFont val="Verdana"/>
        <family val="2"/>
      </rPr>
      <t>)</t>
    </r>
  </si>
  <si>
    <t>Disclaimer</t>
  </si>
  <si>
    <r>
      <t xml:space="preserve">Disclaimer: </t>
    </r>
    <r>
      <rPr>
        <i/>
        <sz val="9"/>
        <color theme="1"/>
        <rFont val="Verdana"/>
        <family val="2"/>
      </rPr>
      <t>This dashboard displays an overview of important data, each time referring to the different input worksheets. Data should not be entered in this worksheet by the registrants.</t>
    </r>
  </si>
  <si>
    <t>General project information</t>
  </si>
  <si>
    <t>Selected Pathway</t>
  </si>
  <si>
    <t>Select the desired pathway that needs to be shown in the dashboard</t>
  </si>
  <si>
    <t xml:space="preserve">1. Pathway 1 </t>
  </si>
  <si>
    <t>Detailed Technical indicators by Pathway</t>
  </si>
  <si>
    <t>Technical Indicators</t>
  </si>
  <si>
    <t>Recycled content (%)</t>
  </si>
  <si>
    <t>Renewable content (%)</t>
  </si>
  <si>
    <t>Reuse rate (%)</t>
  </si>
  <si>
    <t>Recycling rate (%)</t>
  </si>
  <si>
    <t>Recycling output rate (%)</t>
  </si>
  <si>
    <t>Share of renewable energy (%)</t>
  </si>
  <si>
    <t>Economic Parameters</t>
  </si>
  <si>
    <t>IRR (Internal Rate of Return)</t>
  </si>
  <si>
    <t>Total manufacturing cost (€/yr)</t>
  </si>
  <si>
    <t>Detailed Economic indicators by Pathway</t>
  </si>
  <si>
    <t>Investment cost (total) (€)</t>
  </si>
  <si>
    <t>Operational cost (total) (€/yr)</t>
  </si>
  <si>
    <t>Revenues (total) (€/yr)</t>
  </si>
  <si>
    <t>NPV (€)</t>
  </si>
  <si>
    <t>IRR (%)</t>
  </si>
  <si>
    <t>PBP (yr)</t>
  </si>
  <si>
    <t>DPBP (yr)</t>
  </si>
  <si>
    <t>Environmental Parameters</t>
  </si>
  <si>
    <t>Detailed Environmental indicators by Pathway</t>
  </si>
  <si>
    <t>Net climate change impact (ton CO2eq/yr)</t>
  </si>
  <si>
    <t>CO2eq avoided compared to benchmark (ton CO2eq/yr)</t>
  </si>
  <si>
    <t>Combined Parameters</t>
  </si>
  <si>
    <t>Carbon abatement cost (€/ton CO2eq avoided)</t>
  </si>
  <si>
    <t>Energy use per ton CO2 avoided (MWh/ton CO2eq avoided)</t>
  </si>
  <si>
    <t>Detailed Combined indicators by Pathway</t>
  </si>
  <si>
    <r>
      <t>Carbon abatement cost (€/ton CO</t>
    </r>
    <r>
      <rPr>
        <vertAlign val="subscript"/>
        <sz val="9"/>
        <color theme="1"/>
        <rFont val="Verdana"/>
        <family val="2"/>
      </rPr>
      <t>2eq</t>
    </r>
    <r>
      <rPr>
        <sz val="9"/>
        <color theme="1"/>
        <rFont val="Verdana"/>
        <family val="2"/>
      </rPr>
      <t xml:space="preserve"> avoided)</t>
    </r>
  </si>
  <si>
    <r>
      <t>Energy use per ton avoided CO</t>
    </r>
    <r>
      <rPr>
        <vertAlign val="subscript"/>
        <sz val="9"/>
        <color theme="1"/>
        <rFont val="Verdana"/>
        <family val="2"/>
      </rPr>
      <t>2eq</t>
    </r>
    <r>
      <rPr>
        <sz val="9"/>
        <color theme="1"/>
        <rFont val="Verdana"/>
        <family val="2"/>
      </rPr>
      <t xml:space="preserve"> (MWh/ton CO</t>
    </r>
    <r>
      <rPr>
        <vertAlign val="subscript"/>
        <sz val="9"/>
        <color theme="1"/>
        <rFont val="Verdana"/>
        <family val="2"/>
      </rPr>
      <t xml:space="preserve">2eq </t>
    </r>
    <r>
      <rPr>
        <sz val="9"/>
        <color theme="1"/>
        <rFont val="Verdana"/>
        <family val="2"/>
      </rPr>
      <t>avoided)</t>
    </r>
  </si>
  <si>
    <t>Project sheet</t>
  </si>
  <si>
    <t>Project acronym</t>
  </si>
  <si>
    <t>Full title</t>
  </si>
  <si>
    <t>Project number</t>
  </si>
  <si>
    <t>Start date</t>
  </si>
  <si>
    <t>Project duration (months)</t>
  </si>
  <si>
    <t>Total budget (€)</t>
  </si>
  <si>
    <t>Total number of person-months</t>
  </si>
  <si>
    <t>Lead partner (coordinator)</t>
  </si>
  <si>
    <t>Other consortium partners</t>
  </si>
  <si>
    <t>Contact information coordinator</t>
  </si>
  <si>
    <t xml:space="preserve">Version </t>
  </si>
  <si>
    <t>Date</t>
  </si>
  <si>
    <t xml:space="preserve">Technology description </t>
  </si>
  <si>
    <t>Targeted product(s)</t>
  </si>
  <si>
    <t>Process description</t>
  </si>
  <si>
    <t>Benchmark technologies</t>
  </si>
  <si>
    <t>Benchmark process</t>
  </si>
  <si>
    <t>TRL</t>
  </si>
  <si>
    <t>Description</t>
  </si>
  <si>
    <t>Position of new technology compared to benchmark process</t>
  </si>
  <si>
    <t>Purpose of the sustainability assessment</t>
  </si>
  <si>
    <t xml:space="preserve">Describe the specific purpose that you have defined for the sustainability impact calculation. </t>
  </si>
  <si>
    <t>Geographical scope</t>
  </si>
  <si>
    <t>Flanders</t>
  </si>
  <si>
    <t>Temporal scope</t>
  </si>
  <si>
    <t xml:space="preserve">Replace with current year unless a different choice is made. In the latter case an explanation needs to be added as well. </t>
  </si>
  <si>
    <t>System boundaries</t>
  </si>
  <si>
    <t>Select option below</t>
  </si>
  <si>
    <t>Explain choice</t>
  </si>
  <si>
    <t>Functional unit (FU)</t>
  </si>
  <si>
    <t xml:space="preserve">Explain the functional unit that you have selected for the sustainability impact calculation. </t>
  </si>
  <si>
    <t>Multifunctionality - methodological choice</t>
  </si>
  <si>
    <t>Describe the methodological choice that is selected in case of a multi-input or multi-ouput system</t>
  </si>
  <si>
    <t>Market description</t>
  </si>
  <si>
    <t xml:space="preserve">How does the current market of your targeted product look like? </t>
  </si>
  <si>
    <t>Targeted product 1</t>
  </si>
  <si>
    <t>Global production (ton/yr)</t>
  </si>
  <si>
    <t>Belgian production (ton/yr)</t>
  </si>
  <si>
    <t xml:space="preserve">Global demand (ton/yr) </t>
  </si>
  <si>
    <t xml:space="preserve">Targeted market share </t>
  </si>
  <si>
    <t>CAGR (%)</t>
  </si>
  <si>
    <t>Main market players</t>
  </si>
  <si>
    <t>Main market players Flanders</t>
  </si>
  <si>
    <t>Price (€/ton)</t>
  </si>
  <si>
    <t>Main application(s)</t>
  </si>
  <si>
    <t>Targeted application(s)</t>
  </si>
  <si>
    <t>Main production technology</t>
  </si>
  <si>
    <r>
      <t>CO</t>
    </r>
    <r>
      <rPr>
        <b/>
        <vertAlign val="subscript"/>
        <sz val="9"/>
        <color theme="1"/>
        <rFont val="Verdana"/>
        <family val="2"/>
      </rPr>
      <t>2</t>
    </r>
    <r>
      <rPr>
        <b/>
        <sz val="9"/>
        <color theme="1"/>
        <rFont val="Verdana"/>
        <family val="2"/>
      </rPr>
      <t xml:space="preserve"> footprint fossil-based/current main production route (ton CO</t>
    </r>
    <r>
      <rPr>
        <b/>
        <vertAlign val="subscript"/>
        <sz val="9"/>
        <color theme="1"/>
        <rFont val="Verdana"/>
        <family val="2"/>
      </rPr>
      <t>2eq</t>
    </r>
    <r>
      <rPr>
        <b/>
        <sz val="9"/>
        <color theme="1"/>
        <rFont val="Verdana"/>
        <family val="2"/>
      </rPr>
      <t>/ton product)</t>
    </r>
  </si>
  <si>
    <t>Varia</t>
  </si>
  <si>
    <t>Relevant regulations/Policy measures</t>
  </si>
  <si>
    <t xml:space="preserve">Which regulations or policy measures can impact (both positive or negative) your innovation?  </t>
  </si>
  <si>
    <t>Regulation/Policy measure</t>
  </si>
  <si>
    <t>Description/relevancy for the project</t>
  </si>
  <si>
    <t xml:space="preserve">Pathway 1 </t>
  </si>
  <si>
    <t>Pathway 2</t>
  </si>
  <si>
    <t>Pathway 3</t>
  </si>
  <si>
    <t xml:space="preserve">Pathway 4 </t>
  </si>
  <si>
    <t>Scale</t>
  </si>
  <si>
    <t>Parameter</t>
  </si>
  <si>
    <t>Unit</t>
  </si>
  <si>
    <t xml:space="preserve">Feedstock x input </t>
  </si>
  <si>
    <t>ton/yr</t>
  </si>
  <si>
    <t xml:space="preserve">Production x </t>
  </si>
  <si>
    <t>Annual operating time</t>
  </si>
  <si>
    <t>hr/yr</t>
  </si>
  <si>
    <t>What-if parameter</t>
  </si>
  <si>
    <t>Subsidies</t>
  </si>
  <si>
    <t xml:space="preserve">Summary main results </t>
  </si>
  <si>
    <t>Input</t>
  </si>
  <si>
    <t xml:space="preserve">Feedstock </t>
  </si>
  <si>
    <t>Catalyst</t>
  </si>
  <si>
    <t>Solvent</t>
  </si>
  <si>
    <t>Electricity</t>
  </si>
  <si>
    <t>MWh/yr</t>
  </si>
  <si>
    <t>Heat</t>
  </si>
  <si>
    <t>Output</t>
  </si>
  <si>
    <t>Annual production volume</t>
  </si>
  <si>
    <t>Technical indicators</t>
  </si>
  <si>
    <t>Recycled content</t>
  </si>
  <si>
    <t>%</t>
  </si>
  <si>
    <t>Renewable content</t>
  </si>
  <si>
    <t>Reuse rate</t>
  </si>
  <si>
    <t>Recycling rate</t>
  </si>
  <si>
    <t>Recycling output rate</t>
  </si>
  <si>
    <t>Share of renewable energy</t>
  </si>
  <si>
    <t>Investment cost (total)</t>
  </si>
  <si>
    <t>€</t>
  </si>
  <si>
    <t>Operational cost (total)</t>
  </si>
  <si>
    <t>€/yr</t>
  </si>
  <si>
    <t>Revenues (total)</t>
  </si>
  <si>
    <t>NPV</t>
  </si>
  <si>
    <t>IRR</t>
  </si>
  <si>
    <t>PBP</t>
  </si>
  <si>
    <t>yr</t>
  </si>
  <si>
    <t>DPBP</t>
  </si>
  <si>
    <t>Total manufacturing cost</t>
  </si>
  <si>
    <t>Levelized cost of product</t>
  </si>
  <si>
    <t>CAPEX</t>
  </si>
  <si>
    <t>OPEX</t>
  </si>
  <si>
    <t xml:space="preserve">Net total climate change impact </t>
  </si>
  <si>
    <r>
      <t>CO</t>
    </r>
    <r>
      <rPr>
        <vertAlign val="subscript"/>
        <sz val="9"/>
        <color theme="1"/>
        <rFont val="Verdana"/>
        <family val="2"/>
      </rPr>
      <t>2eq</t>
    </r>
    <r>
      <rPr>
        <sz val="9"/>
        <color theme="1"/>
        <rFont val="Verdana"/>
        <family val="2"/>
      </rPr>
      <t xml:space="preserve"> avoided compared to benchmark</t>
    </r>
  </si>
  <si>
    <t>Carbon abatement cost</t>
  </si>
  <si>
    <r>
      <t>Energy use per ton avoided CO</t>
    </r>
    <r>
      <rPr>
        <vertAlign val="subscript"/>
        <sz val="9"/>
        <color theme="1"/>
        <rFont val="Verdana"/>
        <family val="2"/>
      </rPr>
      <t>2eq</t>
    </r>
    <r>
      <rPr>
        <sz val="9"/>
        <color theme="1"/>
        <rFont val="Verdana"/>
        <family val="2"/>
      </rPr>
      <t xml:space="preserve"> </t>
    </r>
  </si>
  <si>
    <t>Main limitations calculations</t>
  </si>
  <si>
    <t>Describe the main limitations of your calculations here. For example the system boundaries like not considering the cost of certain auxiliary products or costs for waste management or downstream processing.</t>
  </si>
  <si>
    <t xml:space="preserve">Main conclusions economic feasibility </t>
  </si>
  <si>
    <t xml:space="preserve">Describe the main conclusions from the economic calculations as well as the research targets that need to be met. </t>
  </si>
  <si>
    <t xml:space="preserve">Main conclusions climate change impact </t>
  </si>
  <si>
    <t xml:space="preserve">Describe the main conclusions from the environmental calculations. </t>
  </si>
  <si>
    <t xml:space="preserve">Other environmental impacts than climate change (optional) </t>
  </si>
  <si>
    <t>Describe other environmental impacts that might be important for the project under evaluation and its future development and implementation</t>
  </si>
  <si>
    <t>Contribution to the MOT KPIs and goals</t>
  </si>
  <si>
    <t xml:space="preserve">Describe the main conclusions on the contribution to the MOT KPIs and goals. </t>
  </si>
  <si>
    <t>Technical data inventory</t>
  </si>
  <si>
    <t>Indicative value</t>
  </si>
  <si>
    <t>Range</t>
  </si>
  <si>
    <t>Data type</t>
  </si>
  <si>
    <t>Raw material extraction/feedstock</t>
  </si>
  <si>
    <t xml:space="preserve">Feedstock x </t>
  </si>
  <si>
    <t>Mass In</t>
  </si>
  <si>
    <t>Dry matter</t>
  </si>
  <si>
    <t>Composition</t>
  </si>
  <si>
    <t xml:space="preserve">&gt; x </t>
  </si>
  <si>
    <t xml:space="preserve">Technology x </t>
  </si>
  <si>
    <t>Mass Out</t>
  </si>
  <si>
    <t>Energy</t>
  </si>
  <si>
    <t>Process</t>
  </si>
  <si>
    <t>Equipment</t>
  </si>
  <si>
    <t>Waste</t>
  </si>
  <si>
    <t>Emissions</t>
  </si>
  <si>
    <t>Transport</t>
  </si>
  <si>
    <t>Pre-processing</t>
  </si>
  <si>
    <t>Technology x</t>
  </si>
  <si>
    <t>Processing</t>
  </si>
  <si>
    <t>Raw material use</t>
  </si>
  <si>
    <t>kg/kg input</t>
  </si>
  <si>
    <t>Solvent use</t>
  </si>
  <si>
    <t xml:space="preserve">Solvent recyclability </t>
  </si>
  <si>
    <t>Catalyst/Enzyme use</t>
  </si>
  <si>
    <t>Catalyst/Enzyme lifetime</t>
  </si>
  <si>
    <t>Catalyst/Enzyme recycling</t>
  </si>
  <si>
    <t xml:space="preserve">Carbon content in each input </t>
  </si>
  <si>
    <t xml:space="preserve"> &gt; Total carbon content</t>
  </si>
  <si>
    <t xml:space="preserve"> &gt; Fixed carbon content</t>
  </si>
  <si>
    <t>Yield targeted product</t>
  </si>
  <si>
    <t>Selectivity</t>
  </si>
  <si>
    <t>Yield by-product</t>
  </si>
  <si>
    <t>Carbon content in each output</t>
  </si>
  <si>
    <t>Electricity use</t>
  </si>
  <si>
    <t>kWh/kg input</t>
  </si>
  <si>
    <t>Heat use</t>
  </si>
  <si>
    <t>Heat production</t>
  </si>
  <si>
    <t>Temperature excess heat</t>
  </si>
  <si>
    <t>°C</t>
  </si>
  <si>
    <t>Fuel use</t>
  </si>
  <si>
    <r>
      <rPr>
        <sz val="9"/>
        <color theme="1"/>
        <rFont val="Calibri"/>
        <family val="2"/>
      </rPr>
      <t>∆</t>
    </r>
    <r>
      <rPr>
        <sz val="9"/>
        <color theme="1"/>
        <rFont val="Verdana"/>
        <family val="2"/>
      </rPr>
      <t>H reaction (standard conditions)</t>
    </r>
  </si>
  <si>
    <t>kJ/mol</t>
  </si>
  <si>
    <r>
      <rPr>
        <sz val="9"/>
        <color theme="1"/>
        <rFont val="Calibri"/>
        <family val="2"/>
      </rPr>
      <t>∆</t>
    </r>
    <r>
      <rPr>
        <sz val="9"/>
        <color theme="1"/>
        <rFont val="Verdana"/>
        <family val="2"/>
      </rPr>
      <t>G</t>
    </r>
  </si>
  <si>
    <t>Current density</t>
  </si>
  <si>
    <t>mA/cm²</t>
  </si>
  <si>
    <t>Voltage</t>
  </si>
  <si>
    <t>V</t>
  </si>
  <si>
    <t>Temperature</t>
  </si>
  <si>
    <t>Pressure</t>
  </si>
  <si>
    <t>bar</t>
  </si>
  <si>
    <t>Residence time</t>
  </si>
  <si>
    <t>hr</t>
  </si>
  <si>
    <t xml:space="preserve">Operating hours </t>
  </si>
  <si>
    <t xml:space="preserve">pH </t>
  </si>
  <si>
    <t>-</t>
  </si>
  <si>
    <t>Material type</t>
  </si>
  <si>
    <t>Land use</t>
  </si>
  <si>
    <t>Minimum size</t>
  </si>
  <si>
    <t>Maximum size</t>
  </si>
  <si>
    <t xml:space="preserve">Waste </t>
  </si>
  <si>
    <t>Yield waste</t>
  </si>
  <si>
    <t>Waste treatment</t>
  </si>
  <si>
    <r>
      <t>CO</t>
    </r>
    <r>
      <rPr>
        <vertAlign val="subscript"/>
        <sz val="9"/>
        <color theme="1"/>
        <rFont val="Verdana"/>
        <family val="2"/>
      </rPr>
      <t>2</t>
    </r>
    <r>
      <rPr>
        <sz val="9"/>
        <color theme="1"/>
        <rFont val="Verdana"/>
        <family val="2"/>
      </rPr>
      <t>_fossil</t>
    </r>
  </si>
  <si>
    <r>
      <t>CO</t>
    </r>
    <r>
      <rPr>
        <vertAlign val="subscript"/>
        <sz val="9"/>
        <color theme="1"/>
        <rFont val="Verdana"/>
        <family val="2"/>
      </rPr>
      <t>2</t>
    </r>
    <r>
      <rPr>
        <sz val="9"/>
        <color theme="1"/>
        <rFont val="Verdana"/>
        <family val="2"/>
      </rPr>
      <t>_biogenic</t>
    </r>
  </si>
  <si>
    <r>
      <t>CH</t>
    </r>
    <r>
      <rPr>
        <vertAlign val="subscript"/>
        <sz val="9"/>
        <color theme="1"/>
        <rFont val="Verdana"/>
        <family val="2"/>
      </rPr>
      <t>4</t>
    </r>
  </si>
  <si>
    <t>CO</t>
  </si>
  <si>
    <r>
      <t>H</t>
    </r>
    <r>
      <rPr>
        <vertAlign val="subscript"/>
        <sz val="9"/>
        <color theme="1"/>
        <rFont val="Verdana"/>
        <family val="2"/>
      </rPr>
      <t>2</t>
    </r>
    <r>
      <rPr>
        <sz val="9"/>
        <color theme="1"/>
        <rFont val="Verdana"/>
        <family val="2"/>
      </rPr>
      <t>O</t>
    </r>
  </si>
  <si>
    <t>Type</t>
  </si>
  <si>
    <t>Distance</t>
  </si>
  <si>
    <t>km</t>
  </si>
  <si>
    <t>Post-treatment/DSP</t>
  </si>
  <si>
    <t>Distribution</t>
  </si>
  <si>
    <t>Packaging</t>
  </si>
  <si>
    <t>Use</t>
  </si>
  <si>
    <t>End-of-Life</t>
  </si>
  <si>
    <t>Economic data inventory</t>
  </si>
  <si>
    <t>Financial</t>
  </si>
  <si>
    <t>Nominal discount rate</t>
  </si>
  <si>
    <t>10-30</t>
  </si>
  <si>
    <t>Real discount rate</t>
  </si>
  <si>
    <t>Equity (EV)</t>
  </si>
  <si>
    <t>Debt (VV)</t>
  </si>
  <si>
    <t>Intrest rate (loan)</t>
  </si>
  <si>
    <t>Inflation rate</t>
  </si>
  <si>
    <t>WACC</t>
  </si>
  <si>
    <t>Corporate tax rate Belgium</t>
  </si>
  <si>
    <t>Economic Lifetime/Evaluation period</t>
  </si>
  <si>
    <t>10-20</t>
  </si>
  <si>
    <t>General capital costs</t>
  </si>
  <si>
    <t>Lang factor</t>
  </si>
  <si>
    <t>Solid processing plant</t>
  </si>
  <si>
    <t>Solid-fluid processing plant</t>
  </si>
  <si>
    <t xml:space="preserve">Fluid processing plant </t>
  </si>
  <si>
    <t>Ratio factors</t>
  </si>
  <si>
    <t>Installation</t>
  </si>
  <si>
    <t>%direct equipment</t>
  </si>
  <si>
    <t>39-47</t>
  </si>
  <si>
    <t>Instrumentation and controls</t>
  </si>
  <si>
    <t>18-36</t>
  </si>
  <si>
    <t>Piping</t>
  </si>
  <si>
    <t>16-68</t>
  </si>
  <si>
    <t>Electrical systems</t>
  </si>
  <si>
    <t>10-11</t>
  </si>
  <si>
    <t>Buildings</t>
  </si>
  <si>
    <t>18-29</t>
  </si>
  <si>
    <t>Yard improvements</t>
  </si>
  <si>
    <t>10-15</t>
  </si>
  <si>
    <t>Service facilities</t>
  </si>
  <si>
    <t>40-70</t>
  </si>
  <si>
    <t>Engineering and supervision</t>
  </si>
  <si>
    <t>32-33</t>
  </si>
  <si>
    <t>Construction expenses</t>
  </si>
  <si>
    <t>34-41</t>
  </si>
  <si>
    <t>Legal expenses</t>
  </si>
  <si>
    <t xml:space="preserve">Contractor's fee </t>
  </si>
  <si>
    <t>17-22</t>
  </si>
  <si>
    <t>Contingency</t>
  </si>
  <si>
    <t>35-44</t>
  </si>
  <si>
    <t xml:space="preserve">Working capital </t>
  </si>
  <si>
    <t>70-89</t>
  </si>
  <si>
    <t>Total</t>
  </si>
  <si>
    <t>General operational costs</t>
  </si>
  <si>
    <t>Wage rate personnel</t>
  </si>
  <si>
    <t>€/hr</t>
  </si>
  <si>
    <t>Insurance cost</t>
  </si>
  <si>
    <r>
      <t>%I</t>
    </r>
    <r>
      <rPr>
        <vertAlign val="subscript"/>
        <sz val="9"/>
        <color theme="1"/>
        <rFont val="Verdana"/>
        <family val="2"/>
      </rPr>
      <t>0</t>
    </r>
  </si>
  <si>
    <t>Maintenance and repair cost</t>
  </si>
  <si>
    <t>Overhead cost</t>
  </si>
  <si>
    <t>%labor and maintenance cost</t>
  </si>
  <si>
    <t>Laboratory expenses</t>
  </si>
  <si>
    <t>%operating labor</t>
  </si>
  <si>
    <t>Supervision</t>
  </si>
  <si>
    <t>Electricity purchase cost BE - grid (today)</t>
  </si>
  <si>
    <t>€/MWh</t>
  </si>
  <si>
    <t>121-295</t>
  </si>
  <si>
    <t>Share of renewable energy in grid mix (today)</t>
  </si>
  <si>
    <t>Electricity purchase cost BE - grid (2050)</t>
  </si>
  <si>
    <t>Share of renewable energy in grid mix (2050)</t>
  </si>
  <si>
    <t>Electricity purchase cost BE - renewables (today)</t>
  </si>
  <si>
    <t>Electricity purchase cost BE - renewables (2050)</t>
  </si>
  <si>
    <t>Natural gas purchase cost</t>
  </si>
  <si>
    <t>41-74</t>
  </si>
  <si>
    <t>Steam cost</t>
  </si>
  <si>
    <t>€/ton</t>
  </si>
  <si>
    <t>20-30</t>
  </si>
  <si>
    <t>Make selection</t>
  </si>
  <si>
    <t>Other solvent not in dropdown list</t>
  </si>
  <si>
    <t xml:space="preserve">(Catalyst) material </t>
  </si>
  <si>
    <t>Other material not in dropdown list</t>
  </si>
  <si>
    <t>Waste 1</t>
  </si>
  <si>
    <t>Wastewater treatment cost</t>
  </si>
  <si>
    <t>€/m³</t>
  </si>
  <si>
    <t>1-6</t>
  </si>
  <si>
    <t>Revenues</t>
  </si>
  <si>
    <t>General</t>
  </si>
  <si>
    <t>Profit margin</t>
  </si>
  <si>
    <t>3-10</t>
  </si>
  <si>
    <t>Targeted product</t>
  </si>
  <si>
    <t>Targeted product current market price</t>
  </si>
  <si>
    <t>Targeted product estimated selling price</t>
  </si>
  <si>
    <t>Byproduct</t>
  </si>
  <si>
    <t>Byproduct 1 price</t>
  </si>
  <si>
    <t>Byproduct 2 price</t>
  </si>
  <si>
    <t>Raw material extraction</t>
  </si>
  <si>
    <t xml:space="preserve">Investment cost </t>
  </si>
  <si>
    <t>Lifetime</t>
  </si>
  <si>
    <t>€/kW</t>
  </si>
  <si>
    <t>Scaling exponent</t>
  </si>
  <si>
    <t>Reference installation scale</t>
  </si>
  <si>
    <t>kW</t>
  </si>
  <si>
    <t>Reference installation year</t>
  </si>
  <si>
    <t>Environmental data inventory</t>
  </si>
  <si>
    <t>Characterization factors</t>
  </si>
  <si>
    <t>Greenhouse gases (GHG)</t>
  </si>
  <si>
    <r>
      <t>CO</t>
    </r>
    <r>
      <rPr>
        <vertAlign val="subscript"/>
        <sz val="9"/>
        <color theme="1"/>
        <rFont val="Verdana"/>
        <family val="2"/>
      </rPr>
      <t>2</t>
    </r>
    <r>
      <rPr>
        <sz val="9"/>
        <color theme="1"/>
        <rFont val="Verdana"/>
        <family val="2"/>
      </rPr>
      <t xml:space="preserve"> (fossil-origin)</t>
    </r>
  </si>
  <si>
    <r>
      <t>kg CO</t>
    </r>
    <r>
      <rPr>
        <vertAlign val="subscript"/>
        <sz val="9"/>
        <color theme="1"/>
        <rFont val="Verdana"/>
        <family val="2"/>
      </rPr>
      <t>2eq</t>
    </r>
    <r>
      <rPr>
        <sz val="9"/>
        <color theme="1"/>
        <rFont val="Verdana"/>
        <family val="2"/>
      </rPr>
      <t>/kg CO</t>
    </r>
    <r>
      <rPr>
        <vertAlign val="subscript"/>
        <sz val="9"/>
        <color theme="1"/>
        <rFont val="Verdana"/>
        <family val="2"/>
      </rPr>
      <t>2</t>
    </r>
  </si>
  <si>
    <r>
      <t>CO</t>
    </r>
    <r>
      <rPr>
        <vertAlign val="subscript"/>
        <sz val="9"/>
        <color theme="1"/>
        <rFont val="Verdana"/>
        <family val="2"/>
      </rPr>
      <t>2</t>
    </r>
    <r>
      <rPr>
        <sz val="9"/>
        <color theme="1"/>
        <rFont val="Verdana"/>
        <family val="2"/>
      </rPr>
      <t xml:space="preserve"> (biogenic origin)</t>
    </r>
  </si>
  <si>
    <r>
      <t>CH</t>
    </r>
    <r>
      <rPr>
        <vertAlign val="subscript"/>
        <sz val="9"/>
        <color theme="1"/>
        <rFont val="Verdana"/>
        <family val="2"/>
      </rPr>
      <t>4</t>
    </r>
    <r>
      <rPr>
        <sz val="9"/>
        <color theme="1"/>
        <rFont val="Verdana"/>
        <family val="2"/>
      </rPr>
      <t xml:space="preserve"> </t>
    </r>
  </si>
  <si>
    <r>
      <t>kg CO</t>
    </r>
    <r>
      <rPr>
        <vertAlign val="subscript"/>
        <sz val="9"/>
        <color theme="1"/>
        <rFont val="Verdana"/>
        <family val="2"/>
      </rPr>
      <t>2eq</t>
    </r>
    <r>
      <rPr>
        <sz val="9"/>
        <color theme="1"/>
        <rFont val="Verdana"/>
        <family val="2"/>
      </rPr>
      <t>/kg CH</t>
    </r>
    <r>
      <rPr>
        <vertAlign val="subscript"/>
        <sz val="9"/>
        <color theme="1"/>
        <rFont val="Verdana"/>
        <family val="2"/>
      </rPr>
      <t>4</t>
    </r>
  </si>
  <si>
    <t>25-34</t>
  </si>
  <si>
    <r>
      <t>N</t>
    </r>
    <r>
      <rPr>
        <vertAlign val="subscript"/>
        <sz val="9"/>
        <color theme="1"/>
        <rFont val="Verdana"/>
        <family val="2"/>
      </rPr>
      <t>2</t>
    </r>
    <r>
      <rPr>
        <sz val="9"/>
        <color theme="1"/>
        <rFont val="Verdana"/>
        <family val="2"/>
      </rPr>
      <t>O</t>
    </r>
  </si>
  <si>
    <r>
      <t>kg CO</t>
    </r>
    <r>
      <rPr>
        <vertAlign val="subscript"/>
        <sz val="9"/>
        <color theme="1"/>
        <rFont val="Verdana"/>
        <family val="2"/>
      </rPr>
      <t>2eq</t>
    </r>
    <r>
      <rPr>
        <sz val="9"/>
        <color theme="1"/>
        <rFont val="Verdana"/>
        <family val="2"/>
      </rPr>
      <t>/kg N</t>
    </r>
    <r>
      <rPr>
        <vertAlign val="subscript"/>
        <sz val="9"/>
        <color theme="1"/>
        <rFont val="Verdana"/>
        <family val="2"/>
      </rPr>
      <t>2</t>
    </r>
    <r>
      <rPr>
        <sz val="9"/>
        <color theme="1"/>
        <rFont val="Verdana"/>
        <family val="2"/>
      </rPr>
      <t>O</t>
    </r>
  </si>
  <si>
    <t>HCFC-141b</t>
  </si>
  <si>
    <r>
      <t>kg CO</t>
    </r>
    <r>
      <rPr>
        <vertAlign val="subscript"/>
        <sz val="9"/>
        <color theme="1"/>
        <rFont val="Verdana"/>
        <family val="2"/>
      </rPr>
      <t>2eq</t>
    </r>
    <r>
      <rPr>
        <sz val="9"/>
        <color theme="1"/>
        <rFont val="Verdana"/>
        <family val="2"/>
      </rPr>
      <t>/kg HCFC-141b</t>
    </r>
  </si>
  <si>
    <t>HFC-134a</t>
  </si>
  <si>
    <r>
      <t>kg CO</t>
    </r>
    <r>
      <rPr>
        <vertAlign val="subscript"/>
        <sz val="9"/>
        <color theme="1"/>
        <rFont val="Verdana"/>
        <family val="2"/>
      </rPr>
      <t>2eq</t>
    </r>
    <r>
      <rPr>
        <sz val="9"/>
        <color theme="1"/>
        <rFont val="Verdana"/>
        <family val="2"/>
      </rPr>
      <t>/kg HFC-134a</t>
    </r>
  </si>
  <si>
    <t>HCFC-22</t>
  </si>
  <si>
    <r>
      <t>kg CO</t>
    </r>
    <r>
      <rPr>
        <vertAlign val="subscript"/>
        <sz val="9"/>
        <color theme="1"/>
        <rFont val="Verdana"/>
        <family val="2"/>
      </rPr>
      <t>2eq</t>
    </r>
    <r>
      <rPr>
        <sz val="9"/>
        <color theme="1"/>
        <rFont val="Verdana"/>
        <family val="2"/>
      </rPr>
      <t>/kg HCFC-22</t>
    </r>
  </si>
  <si>
    <t>HCFC-142b</t>
  </si>
  <si>
    <r>
      <t>kg CO</t>
    </r>
    <r>
      <rPr>
        <vertAlign val="subscript"/>
        <sz val="9"/>
        <color theme="1"/>
        <rFont val="Verdana"/>
        <family val="2"/>
      </rPr>
      <t>2eq</t>
    </r>
    <r>
      <rPr>
        <sz val="9"/>
        <color theme="1"/>
        <rFont val="Verdana"/>
        <family val="2"/>
      </rPr>
      <t>/kg HCFC-142b</t>
    </r>
  </si>
  <si>
    <t>CFC-11</t>
  </si>
  <si>
    <r>
      <t>kg CO</t>
    </r>
    <r>
      <rPr>
        <vertAlign val="subscript"/>
        <sz val="9"/>
        <color theme="1"/>
        <rFont val="Verdana"/>
        <family val="2"/>
      </rPr>
      <t>2eq</t>
    </r>
    <r>
      <rPr>
        <sz val="9"/>
        <color theme="1"/>
        <rFont val="Verdana"/>
        <family val="2"/>
      </rPr>
      <t>/kg CFC-11</t>
    </r>
  </si>
  <si>
    <t>CFC-12</t>
  </si>
  <si>
    <r>
      <t>kg CO</t>
    </r>
    <r>
      <rPr>
        <vertAlign val="subscript"/>
        <sz val="9"/>
        <color theme="1"/>
        <rFont val="Verdana"/>
        <family val="2"/>
      </rPr>
      <t>2eq</t>
    </r>
    <r>
      <rPr>
        <sz val="9"/>
        <color theme="1"/>
        <rFont val="Verdana"/>
        <family val="2"/>
      </rPr>
      <t>/kg CFC-12</t>
    </r>
  </si>
  <si>
    <r>
      <t>SF</t>
    </r>
    <r>
      <rPr>
        <vertAlign val="subscript"/>
        <sz val="9"/>
        <color theme="1"/>
        <rFont val="Verdana"/>
        <family val="2"/>
      </rPr>
      <t>6</t>
    </r>
  </si>
  <si>
    <r>
      <t>kg CO</t>
    </r>
    <r>
      <rPr>
        <vertAlign val="subscript"/>
        <sz val="9"/>
        <color theme="1"/>
        <rFont val="Verdana"/>
        <family val="2"/>
      </rPr>
      <t>2eq</t>
    </r>
    <r>
      <rPr>
        <sz val="9"/>
        <color theme="1"/>
        <rFont val="Verdana"/>
        <family val="2"/>
      </rPr>
      <t>/kg SF</t>
    </r>
    <r>
      <rPr>
        <vertAlign val="subscript"/>
        <sz val="9"/>
        <color theme="1"/>
        <rFont val="Verdana"/>
        <family val="2"/>
      </rPr>
      <t>6</t>
    </r>
  </si>
  <si>
    <t>Impact factors</t>
  </si>
  <si>
    <r>
      <t>kg CO</t>
    </r>
    <r>
      <rPr>
        <vertAlign val="subscript"/>
        <sz val="9"/>
        <color rgb="FF000000"/>
        <rFont val="Verdana"/>
        <family val="2"/>
      </rPr>
      <t>2eq</t>
    </r>
    <r>
      <rPr>
        <sz val="9"/>
        <color rgb="FF000000"/>
        <rFont val="Verdana"/>
        <family val="2"/>
      </rPr>
      <t>/kWh</t>
    </r>
  </si>
  <si>
    <t>Electricity BE - grid (2050)</t>
  </si>
  <si>
    <r>
      <t>kg CO</t>
    </r>
    <r>
      <rPr>
        <vertAlign val="subscript"/>
        <sz val="9"/>
        <color theme="1"/>
        <rFont val="Verdana"/>
        <family val="2"/>
      </rPr>
      <t>2eq</t>
    </r>
    <r>
      <rPr>
        <sz val="9"/>
        <color theme="1"/>
        <rFont val="Verdana"/>
        <family val="2"/>
      </rPr>
      <t>/kWh</t>
    </r>
  </si>
  <si>
    <r>
      <t>kg CO</t>
    </r>
    <r>
      <rPr>
        <vertAlign val="subscript"/>
        <sz val="9"/>
        <color theme="1"/>
        <rFont val="Verdana"/>
        <family val="2"/>
      </rPr>
      <t>2eq</t>
    </r>
    <r>
      <rPr>
        <sz val="9"/>
        <color theme="1"/>
        <rFont val="Verdana"/>
        <family val="2"/>
      </rPr>
      <t>/kg</t>
    </r>
  </si>
  <si>
    <t>Natural gas (production)</t>
  </si>
  <si>
    <r>
      <rPr>
        <sz val="9"/>
        <color rgb="FF000000"/>
        <rFont val="Verdana"/>
        <family val="2"/>
      </rPr>
      <t>kg CO</t>
    </r>
    <r>
      <rPr>
        <vertAlign val="subscript"/>
        <sz val="9"/>
        <color rgb="FF000000"/>
        <rFont val="Verdana"/>
        <family val="2"/>
      </rPr>
      <t>2eq</t>
    </r>
    <r>
      <rPr>
        <sz val="9"/>
        <color rgb="FF000000"/>
        <rFont val="Verdana"/>
        <family val="2"/>
      </rPr>
      <t>/kWh</t>
    </r>
  </si>
  <si>
    <t xml:space="preserve">Transport rail </t>
  </si>
  <si>
    <r>
      <rPr>
        <sz val="9"/>
        <color rgb="FF000000"/>
        <rFont val="Verdana"/>
        <family val="2"/>
      </rPr>
      <t>kg CO</t>
    </r>
    <r>
      <rPr>
        <vertAlign val="subscript"/>
        <sz val="9"/>
        <color rgb="FF000000"/>
        <rFont val="Verdana"/>
        <family val="2"/>
      </rPr>
      <t>2eq</t>
    </r>
    <r>
      <rPr>
        <sz val="9"/>
        <color rgb="FF000000"/>
        <rFont val="Verdana"/>
        <family val="2"/>
      </rPr>
      <t>/tkm</t>
    </r>
  </si>
  <si>
    <t>Raw materials</t>
  </si>
  <si>
    <t xml:space="preserve">Secondary material production (recycling) </t>
  </si>
  <si>
    <t xml:space="preserve">Waste 1 </t>
  </si>
  <si>
    <t>Waste water treatment</t>
  </si>
  <si>
    <r>
      <t>kg CO</t>
    </r>
    <r>
      <rPr>
        <vertAlign val="subscript"/>
        <sz val="9"/>
        <color theme="1"/>
        <rFont val="Verdana"/>
        <family val="2"/>
      </rPr>
      <t>2eq</t>
    </r>
    <r>
      <rPr>
        <sz val="9"/>
        <color theme="1"/>
        <rFont val="Verdana"/>
        <family val="2"/>
      </rPr>
      <t>/m³</t>
    </r>
  </si>
  <si>
    <t>Incineration - Hazardous waste</t>
  </si>
  <si>
    <t>Byproduct 1</t>
  </si>
  <si>
    <t>Byproduct 2</t>
  </si>
  <si>
    <t>Credits (avoided impacts)</t>
  </si>
  <si>
    <t xml:space="preserve">Primary material production </t>
  </si>
  <si>
    <t>General data</t>
  </si>
  <si>
    <t>CEPCI</t>
  </si>
  <si>
    <t>Year</t>
  </si>
  <si>
    <t>General conversion factors</t>
  </si>
  <si>
    <t xml:space="preserve">This is just an example. The table can be further extended with other conversion factors that are required for the calculations. </t>
  </si>
  <si>
    <t>Factor</t>
  </si>
  <si>
    <t>Value</t>
  </si>
  <si>
    <t>MWh to kWh</t>
  </si>
  <si>
    <t>General technical parameters</t>
  </si>
  <si>
    <t xml:space="preserve">This is just an example. The table can be further extended with other general technical parameters that are required for the calculations. These are put separate as these are fixed and cannot be changed in a sensitivity analysis. </t>
  </si>
  <si>
    <t>Density water</t>
  </si>
  <si>
    <t>kg/m³</t>
  </si>
  <si>
    <t>PFD</t>
  </si>
  <si>
    <t xml:space="preserve">Technical </t>
  </si>
  <si>
    <t>Unit (per year)</t>
  </si>
  <si>
    <t>Comments</t>
  </si>
  <si>
    <t>Materials</t>
  </si>
  <si>
    <t>Chemicals</t>
  </si>
  <si>
    <t>Electricity use (renewable)</t>
  </si>
  <si>
    <t>Electricity use (non-renewable)</t>
  </si>
  <si>
    <t>m²</t>
  </si>
  <si>
    <t>Number of installations</t>
  </si>
  <si>
    <t xml:space="preserve">Materials </t>
  </si>
  <si>
    <t xml:space="preserve">Results </t>
  </si>
  <si>
    <t>Economic</t>
  </si>
  <si>
    <t>year</t>
  </si>
  <si>
    <t>Group</t>
  </si>
  <si>
    <t>Investment</t>
  </si>
  <si>
    <t>Reinvestment</t>
  </si>
  <si>
    <t>Operational cost</t>
  </si>
  <si>
    <t>Insurance</t>
  </si>
  <si>
    <t>Maintenance and repair</t>
  </si>
  <si>
    <t>Labor</t>
  </si>
  <si>
    <t>Overhead</t>
  </si>
  <si>
    <t>Feedstock</t>
  </si>
  <si>
    <t>Cash flow</t>
  </si>
  <si>
    <t>Depreciation cost</t>
  </si>
  <si>
    <t>Total depreciation</t>
  </si>
  <si>
    <t>Interest loan</t>
  </si>
  <si>
    <t xml:space="preserve">Down payment loan </t>
  </si>
  <si>
    <t>Taxable base</t>
  </si>
  <si>
    <t>CF before taxes</t>
  </si>
  <si>
    <t>Taxes</t>
  </si>
  <si>
    <t>CF after taxes</t>
  </si>
  <si>
    <t>Total discounted</t>
  </si>
  <si>
    <t>Cum.Sum</t>
  </si>
  <si>
    <t>Cum.Sum discounted</t>
  </si>
  <si>
    <t>Results</t>
  </si>
  <si>
    <t>Environmental</t>
  </si>
  <si>
    <t xml:space="preserve">Total </t>
  </si>
  <si>
    <t>Impacts</t>
  </si>
  <si>
    <t xml:space="preserve">Electricity </t>
  </si>
  <si>
    <t>Direct emissions</t>
  </si>
  <si>
    <t>Credits</t>
  </si>
  <si>
    <t>Total impacts</t>
  </si>
  <si>
    <t>Total credits</t>
  </si>
  <si>
    <t>Net total climate change impact</t>
  </si>
  <si>
    <t>ton CO2eq/yr</t>
  </si>
  <si>
    <t>Results combined indicators</t>
  </si>
  <si>
    <t>€/ton CO2eq avoided</t>
  </si>
  <si>
    <r>
      <t>Energy use per ton avoided CO</t>
    </r>
    <r>
      <rPr>
        <vertAlign val="subscript"/>
        <sz val="9"/>
        <color theme="1"/>
        <rFont val="Verdana"/>
        <family val="2"/>
      </rPr>
      <t>2eq</t>
    </r>
  </si>
  <si>
    <t>MWh/ton CO2eq avoided</t>
  </si>
  <si>
    <t>Contribution analysis</t>
  </si>
  <si>
    <t xml:space="preserve">One-at-a-time sensitivity analysis </t>
  </si>
  <si>
    <t>Scenario analysis - Break-even analysis and What-if analysis</t>
  </si>
  <si>
    <t xml:space="preserve">If you add something to the table, the conditional format will have to be updated as it does not recognize the table name. The dropdown list will be updated automatically. </t>
  </si>
  <si>
    <t>Solvents</t>
  </si>
  <si>
    <t xml:space="preserve">Status </t>
  </si>
  <si>
    <r>
      <t>kg CO</t>
    </r>
    <r>
      <rPr>
        <vertAlign val="subscript"/>
        <sz val="11"/>
        <color theme="1"/>
        <rFont val="Calibri"/>
        <family val="2"/>
        <scheme val="minor"/>
      </rPr>
      <t>2eq</t>
    </r>
    <r>
      <rPr>
        <sz val="11"/>
        <color theme="1"/>
        <rFont val="Calibri"/>
        <family val="2"/>
        <scheme val="minor"/>
      </rPr>
      <t>/kg</t>
    </r>
  </si>
  <si>
    <t>Critical Raw Materials included in catalysts</t>
  </si>
  <si>
    <t>Status</t>
  </si>
  <si>
    <t>1,4-dioxane</t>
  </si>
  <si>
    <t>Aluminium</t>
  </si>
  <si>
    <t>Ac2O</t>
  </si>
  <si>
    <t>Antimony</t>
  </si>
  <si>
    <t>Acetone</t>
  </si>
  <si>
    <t>Arsenic</t>
  </si>
  <si>
    <t>Acetonitrile</t>
  </si>
  <si>
    <t>Baryte</t>
  </si>
  <si>
    <t>AcOH</t>
  </si>
  <si>
    <t>Bauxite</t>
  </si>
  <si>
    <t>Anisole</t>
  </si>
  <si>
    <t>Beryllium</t>
  </si>
  <si>
    <t>Benzene</t>
  </si>
  <si>
    <t>Bismuth</t>
  </si>
  <si>
    <t>Benzyl alcohol</t>
  </si>
  <si>
    <t>Borate</t>
  </si>
  <si>
    <t>BuOH</t>
  </si>
  <si>
    <t xml:space="preserve">Cadmium </t>
  </si>
  <si>
    <t>CCl4</t>
  </si>
  <si>
    <t>Chromium</t>
  </si>
  <si>
    <t>Chlorobenzene</t>
  </si>
  <si>
    <t>Cobalt</t>
  </si>
  <si>
    <t>Chloroform</t>
  </si>
  <si>
    <t>Coking coal</t>
  </si>
  <si>
    <t>Cyclohexane</t>
  </si>
  <si>
    <t>Copper</t>
  </si>
  <si>
    <t>Cyclohexanone</t>
  </si>
  <si>
    <t>Fluorspar</t>
  </si>
  <si>
    <t>DCE</t>
  </si>
  <si>
    <t>Gallium</t>
  </si>
  <si>
    <t>DCM</t>
  </si>
  <si>
    <t>Germanium</t>
  </si>
  <si>
    <t>Diethyl ether</t>
  </si>
  <si>
    <t>Gold</t>
  </si>
  <si>
    <t>Diisopropyl ether</t>
  </si>
  <si>
    <t>Hafnium</t>
  </si>
  <si>
    <t>DMAc</t>
  </si>
  <si>
    <t>Heavy rare earth elements</t>
  </si>
  <si>
    <t>DME</t>
  </si>
  <si>
    <t xml:space="preserve">Helium </t>
  </si>
  <si>
    <t>DMF</t>
  </si>
  <si>
    <t>Indium</t>
  </si>
  <si>
    <t>DMPU</t>
  </si>
  <si>
    <t>Lead</t>
  </si>
  <si>
    <t>DMSO</t>
  </si>
  <si>
    <t>Light rare earth elements</t>
  </si>
  <si>
    <t>DMC</t>
  </si>
  <si>
    <t>Lithium</t>
  </si>
  <si>
    <t>Ethylene glycol</t>
  </si>
  <si>
    <t>Magnesium</t>
  </si>
  <si>
    <t>EtOAc</t>
  </si>
  <si>
    <t>Manganese</t>
  </si>
  <si>
    <t>EtOH</t>
  </si>
  <si>
    <t>Natural graphite</t>
  </si>
  <si>
    <t>Ethylene oxide</t>
  </si>
  <si>
    <t>Natural rubber</t>
  </si>
  <si>
    <t>Formic acid</t>
  </si>
  <si>
    <t>Nickel</t>
  </si>
  <si>
    <t>Heptane</t>
  </si>
  <si>
    <t>Niobium</t>
  </si>
  <si>
    <t>Hexane</t>
  </si>
  <si>
    <t>Phosphate rock</t>
  </si>
  <si>
    <t>i-PrOAc</t>
  </si>
  <si>
    <t>Phosphorus</t>
  </si>
  <si>
    <t>i-PrOH</t>
  </si>
  <si>
    <t>Platinum Group Metals</t>
  </si>
  <si>
    <t>Me-cyclohexane</t>
  </si>
  <si>
    <t>Rhenium</t>
  </si>
  <si>
    <t>MEK</t>
  </si>
  <si>
    <t>Scandium</t>
  </si>
  <si>
    <t>MeOAc</t>
  </si>
  <si>
    <t xml:space="preserve">Selenium </t>
  </si>
  <si>
    <t>MeOH</t>
  </si>
  <si>
    <t>Silicon metal</t>
  </si>
  <si>
    <t>Me-THF</t>
  </si>
  <si>
    <t>Silver</t>
  </si>
  <si>
    <t>Methoxy-ethanol</t>
  </si>
  <si>
    <t>Strontium</t>
  </si>
  <si>
    <t>MIBK</t>
  </si>
  <si>
    <t>Tantalum</t>
  </si>
  <si>
    <t>MTBE</t>
  </si>
  <si>
    <t>Tin</t>
  </si>
  <si>
    <t>n-BuOAc</t>
  </si>
  <si>
    <t>Titanium</t>
  </si>
  <si>
    <t>Nitromethane</t>
  </si>
  <si>
    <t>Tungsten</t>
  </si>
  <si>
    <t>NMP</t>
  </si>
  <si>
    <t>Vanadium</t>
  </si>
  <si>
    <t>Pentane</t>
  </si>
  <si>
    <t>Zinc</t>
  </si>
  <si>
    <t>Pyridine</t>
  </si>
  <si>
    <t>Zirconium</t>
  </si>
  <si>
    <t>Sulfolane</t>
  </si>
  <si>
    <t>TEA</t>
  </si>
  <si>
    <t>THF</t>
  </si>
  <si>
    <t>Toluene</t>
  </si>
  <si>
    <t>Water</t>
  </si>
  <si>
    <t>Xylenes</t>
  </si>
  <si>
    <t xml:space="preserve">Current TRL </t>
  </si>
  <si>
    <r>
      <t>Climate change impact (ton CO</t>
    </r>
    <r>
      <rPr>
        <b/>
        <i/>
        <vertAlign val="subscript"/>
        <sz val="9"/>
        <color theme="1"/>
        <rFont val="Verdana"/>
        <family val="2"/>
      </rPr>
      <t>2eq</t>
    </r>
    <r>
      <rPr>
        <b/>
        <i/>
        <sz val="9"/>
        <color theme="1"/>
        <rFont val="Verdana"/>
        <family val="2"/>
      </rPr>
      <t>/FU)</t>
    </r>
  </si>
  <si>
    <t>Electricity BE - grid (2018) - medium voltage</t>
  </si>
  <si>
    <t>Electricity - renewables (NO) - medium voltage</t>
  </si>
  <si>
    <t xml:space="preserve">Diesel - average blend </t>
  </si>
  <si>
    <t xml:space="preserve">Diesel - direct emissions from combustion </t>
  </si>
  <si>
    <t xml:space="preserve">Natural gas - direct emissions from combustion </t>
  </si>
  <si>
    <t>Heat - NG - high temperature industrial</t>
  </si>
  <si>
    <t xml:space="preserve">Heat - NG - low temperature industrial, including commercial and domestic </t>
  </si>
  <si>
    <t>Heat - oil - average</t>
  </si>
  <si>
    <t>Heat - gas CHP</t>
  </si>
  <si>
    <t xml:space="preserve">Heat - biogas - average </t>
  </si>
  <si>
    <t xml:space="preserve">Heat - biomass - average </t>
  </si>
  <si>
    <t>Transport - air, long haul</t>
  </si>
  <si>
    <t>Transport - air, short haul</t>
  </si>
  <si>
    <t>Transport - road (truck)</t>
  </si>
  <si>
    <t>Transport - shipping (see tanker, general)</t>
  </si>
  <si>
    <t xml:space="preserve">Notwithstanding that this template has been prepared by the developers with the utmost care, using reliable sources, this template is provided on an "AS IS" and "AS AVAILABLE" basis. The developers make no warranties of any kind, express or implied, including but not limited to warranties of merchantability, fitness for a particular purpose or non-infringement of intellectual property rights, with respect to this template. The developers do not accept any responsibility or liability in relation to the use of this template. Use of this template by the user is at his/her own risk. The developers of the template are not responsible for mistakes, inaccurate data, wrong use and interpretation of the results. 
This template cannot be reproduced or publicly distributed in whole or in part without prior written consent of Vlaio and the developers.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</si>
</sst>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quot;€&quot;\ * #,##0.00_ ;_ &quot;€&quot;\ * \-#,##0.00_ ;_ &quot;€&quot;\ * &quot;-&quot;??_ ;_ @_ "/>
    <numFmt numFmtId="165" formatCode="_-[$€-2]\ * #,##0.00_-;\-[$€-2]\ * #,##0.00_-;_-[$€-2]\ * &quot;-&quot;??_-;_-@_-"/>
    <numFmt numFmtId="166" formatCode="0.0"/>
    <numFmt numFmtId="167" formatCode="0.000"/>
    <numFmt numFmtId="168" formatCode="[$]dd/mm/yyyy;@" x16r2:formatCode16="[$-en-BE,1]dd/mm/yyyy;@"/>
    <numFmt numFmtId="169" formatCode="#,##0\ &quot;€&quot;"/>
    <numFmt numFmtId="170" formatCode="_-[$€-2]\ * #,##0_-;\-[$€-2]\ * #,##0_-;_-[$€-2]\ * &quot;-&quot;_-;_-@_-"/>
    <numFmt numFmtId="171" formatCode="0.0%"/>
    <numFmt numFmtId="172" formatCode="#,##0.0"/>
    <numFmt numFmtId="173" formatCode="0.0000"/>
  </numFmts>
  <fonts count="37" x14ac:knownFonts="1">
    <font>
      <sz val="11"/>
      <color theme="1"/>
      <name val="Calibri"/>
      <family val="2"/>
      <scheme val="minor"/>
    </font>
    <font>
      <sz val="11"/>
      <color theme="1"/>
      <name val="Calibri"/>
      <family val="2"/>
      <scheme val="minor"/>
    </font>
    <font>
      <sz val="9"/>
      <color theme="1"/>
      <name val="Verdana"/>
      <family val="2"/>
    </font>
    <font>
      <b/>
      <sz val="16"/>
      <color theme="1"/>
      <name val="Verdana"/>
      <family val="2"/>
    </font>
    <font>
      <b/>
      <sz val="9"/>
      <color theme="1"/>
      <name val="Verdana"/>
      <family val="2"/>
    </font>
    <font>
      <i/>
      <sz val="9"/>
      <color theme="1"/>
      <name val="Verdana"/>
      <family val="2"/>
    </font>
    <font>
      <b/>
      <i/>
      <sz val="9"/>
      <color theme="1"/>
      <name val="Verdana"/>
      <family val="2"/>
    </font>
    <font>
      <sz val="9"/>
      <color indexed="81"/>
      <name val="Tahoma"/>
      <family val="2"/>
    </font>
    <font>
      <i/>
      <sz val="9"/>
      <name val="Verdana"/>
      <family val="2"/>
    </font>
    <font>
      <b/>
      <sz val="9"/>
      <name val="Verdana"/>
      <family val="2"/>
    </font>
    <font>
      <sz val="9"/>
      <name val="Verdana"/>
      <family val="2"/>
    </font>
    <font>
      <i/>
      <sz val="9"/>
      <color indexed="81"/>
      <name val="Tahoma"/>
      <family val="2"/>
    </font>
    <font>
      <sz val="9"/>
      <color theme="0" tint="-0.34998626667073579"/>
      <name val="Verdana"/>
      <family val="2"/>
    </font>
    <font>
      <b/>
      <sz val="9"/>
      <color theme="0" tint="-0.34998626667073579"/>
      <name val="Verdana"/>
      <family val="2"/>
    </font>
    <font>
      <sz val="8"/>
      <name val="Calibri"/>
      <family val="2"/>
      <scheme val="minor"/>
    </font>
    <font>
      <vertAlign val="subscript"/>
      <sz val="9"/>
      <color theme="1"/>
      <name val="Verdana"/>
      <family val="2"/>
    </font>
    <font>
      <b/>
      <vertAlign val="subscript"/>
      <sz val="9"/>
      <color theme="1"/>
      <name val="Verdana"/>
      <family val="2"/>
    </font>
    <font>
      <sz val="9"/>
      <color theme="4"/>
      <name val="Verdana"/>
      <family val="2"/>
    </font>
    <font>
      <i/>
      <u/>
      <sz val="9"/>
      <color indexed="81"/>
      <name val="Tahoma"/>
      <family val="2"/>
    </font>
    <font>
      <sz val="11"/>
      <color rgb="FF000000"/>
      <name val="Calibri"/>
      <family val="2"/>
      <scheme val="minor"/>
    </font>
    <font>
      <b/>
      <sz val="11"/>
      <color rgb="FFFF0000"/>
      <name val="Calibri"/>
      <family val="2"/>
      <scheme val="minor"/>
    </font>
    <font>
      <vertAlign val="subscrip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font>
    <font>
      <sz val="9"/>
      <color rgb="FF000000"/>
      <name val="Verdana"/>
      <family val="2"/>
    </font>
    <font>
      <vertAlign val="subscript"/>
      <sz val="9"/>
      <color rgb="FF000000"/>
      <name val="Verdana"/>
      <family val="2"/>
    </font>
    <font>
      <sz val="9"/>
      <color rgb="FFA6A6A6"/>
      <name val="Verdana"/>
      <family val="2"/>
    </font>
    <font>
      <vertAlign val="subscript"/>
      <sz val="9"/>
      <color rgb="FFA6A6A6"/>
      <name val="Verdana"/>
      <family val="2"/>
    </font>
    <font>
      <b/>
      <i/>
      <vertAlign val="subscript"/>
      <sz val="9"/>
      <color theme="1"/>
      <name val="Verdana"/>
      <family val="2"/>
    </font>
    <font>
      <u/>
      <sz val="9"/>
      <color indexed="81"/>
      <name val="Tahoma"/>
      <family val="2"/>
    </font>
    <font>
      <b/>
      <sz val="9"/>
      <color rgb="FFFF0000"/>
      <name val="Verdana"/>
      <family val="2"/>
    </font>
    <font>
      <sz val="10"/>
      <color theme="1"/>
      <name val="Verdana"/>
      <family val="2"/>
    </font>
    <font>
      <sz val="9"/>
      <color theme="0"/>
      <name val="Verdana"/>
      <family val="2"/>
    </font>
    <font>
      <b/>
      <sz val="9"/>
      <color theme="0"/>
      <name val="Verdana"/>
      <family val="2"/>
    </font>
    <font>
      <sz val="9"/>
      <color theme="1"/>
      <name val="Calibri"/>
      <family val="2"/>
      <scheme val="minor"/>
    </font>
    <font>
      <sz val="9"/>
      <color indexed="81"/>
      <name val="Tahoma"/>
      <charset val="1"/>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DADEB8"/>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theme="0" tint="-0.249977111117893"/>
      </right>
      <top/>
      <bottom/>
      <diagonal/>
    </border>
    <border>
      <left/>
      <right style="thick">
        <color theme="0" tint="-4.9989318521683403E-2"/>
      </right>
      <top/>
      <bottom/>
      <diagonal/>
    </border>
  </borders>
  <cellStyleXfs count="7">
    <xf numFmtId="0" fontId="0" fillId="2" borderId="0"/>
    <xf numFmtId="0" fontId="1" fillId="5" borderId="0"/>
    <xf numFmtId="9" fontId="1" fillId="0" borderId="0" applyFont="0" applyFill="0" applyBorder="0" applyAlignment="0" applyProtection="0"/>
    <xf numFmtId="0" fontId="2" fillId="9" borderId="7"/>
    <xf numFmtId="0" fontId="2" fillId="3" borderId="7"/>
    <xf numFmtId="44" fontId="1" fillId="0" borderId="0" applyFont="0" applyFill="0" applyBorder="0" applyAlignment="0" applyProtection="0"/>
    <xf numFmtId="0" fontId="1" fillId="0" borderId="0"/>
  </cellStyleXfs>
  <cellXfs count="433">
    <xf numFmtId="0" fontId="0" fillId="2" borderId="0" xfId="0"/>
    <xf numFmtId="0" fontId="2" fillId="2" borderId="0" xfId="0" applyFont="1"/>
    <xf numFmtId="0" fontId="2" fillId="2" borderId="0" xfId="0" applyFont="1" applyAlignment="1">
      <alignment horizontal="center"/>
    </xf>
    <xf numFmtId="0" fontId="3" fillId="2" borderId="0" xfId="0" applyFont="1"/>
    <xf numFmtId="0" fontId="2" fillId="2" borderId="1" xfId="0" applyFont="1" applyBorder="1" applyAlignment="1">
      <alignment horizontal="left" vertical="center" wrapText="1"/>
    </xf>
    <xf numFmtId="0" fontId="4" fillId="2" borderId="1" xfId="0" applyFont="1" applyBorder="1" applyAlignment="1">
      <alignment vertical="center"/>
    </xf>
    <xf numFmtId="0" fontId="4" fillId="2" borderId="0" xfId="0" applyFont="1"/>
    <xf numFmtId="0" fontId="2" fillId="2" borderId="4" xfId="0" applyFont="1" applyBorder="1"/>
    <xf numFmtId="0" fontId="4" fillId="3" borderId="0" xfId="0" applyFont="1" applyFill="1"/>
    <xf numFmtId="0" fontId="2" fillId="3" borderId="0" xfId="0" applyFont="1" applyFill="1"/>
    <xf numFmtId="0" fontId="4" fillId="3" borderId="3" xfId="0" applyFont="1" applyFill="1" applyBorder="1"/>
    <xf numFmtId="0" fontId="2" fillId="3" borderId="4" xfId="0" applyFont="1" applyFill="1" applyBorder="1"/>
    <xf numFmtId="0" fontId="2" fillId="2" borderId="0" xfId="0" applyFont="1" applyAlignment="1">
      <alignment vertical="center" wrapText="1"/>
    </xf>
    <xf numFmtId="0" fontId="6" fillId="2" borderId="0" xfId="0" applyFont="1"/>
    <xf numFmtId="0" fontId="2" fillId="4" borderId="0" xfId="0" applyFont="1" applyFill="1"/>
    <xf numFmtId="0" fontId="5" fillId="2" borderId="0" xfId="0" applyFont="1" applyAlignment="1" applyProtection="1">
      <alignment horizontal="left"/>
      <protection locked="0"/>
    </xf>
    <xf numFmtId="0" fontId="2" fillId="4" borderId="0" xfId="0" applyFont="1" applyFill="1" applyAlignment="1">
      <alignment horizontal="right"/>
    </xf>
    <xf numFmtId="0" fontId="4" fillId="4" borderId="0" xfId="0" applyFont="1" applyFill="1"/>
    <xf numFmtId="0" fontId="2" fillId="4" borderId="7" xfId="0" applyFont="1" applyFill="1" applyBorder="1"/>
    <xf numFmtId="0" fontId="2" fillId="2" borderId="7" xfId="0" applyFont="1" applyBorder="1"/>
    <xf numFmtId="0" fontId="2" fillId="3" borderId="7" xfId="0" applyFont="1" applyFill="1" applyBorder="1"/>
    <xf numFmtId="0" fontId="2" fillId="3" borderId="0" xfId="0" applyFont="1" applyFill="1" applyAlignment="1">
      <alignment horizontal="right"/>
    </xf>
    <xf numFmtId="0" fontId="5" fillId="3" borderId="0" xfId="0" applyFont="1" applyFill="1" applyAlignment="1" applyProtection="1">
      <alignment horizontal="left"/>
      <protection locked="0"/>
    </xf>
    <xf numFmtId="0" fontId="2" fillId="2" borderId="0" xfId="0" applyFont="1" applyAlignment="1" applyProtection="1">
      <alignment horizontal="left"/>
      <protection locked="0"/>
    </xf>
    <xf numFmtId="0" fontId="2" fillId="4" borderId="0" xfId="0" applyFont="1" applyFill="1" applyProtection="1">
      <protection locked="0"/>
    </xf>
    <xf numFmtId="0" fontId="9" fillId="4" borderId="4" xfId="0" applyFont="1" applyFill="1" applyBorder="1" applyProtection="1">
      <protection locked="0"/>
    </xf>
    <xf numFmtId="0" fontId="2" fillId="4" borderId="4" xfId="0" applyFont="1" applyFill="1" applyBorder="1" applyProtection="1">
      <protection locked="0"/>
    </xf>
    <xf numFmtId="0" fontId="9" fillId="4" borderId="4"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4" xfId="0" applyFont="1" applyFill="1" applyBorder="1" applyProtection="1">
      <protection locked="0"/>
    </xf>
    <xf numFmtId="0" fontId="9" fillId="4" borderId="0" xfId="0" applyFont="1" applyFill="1" applyProtection="1">
      <protection locked="0"/>
    </xf>
    <xf numFmtId="0" fontId="9" fillId="4"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10" fillId="4" borderId="0" xfId="0" applyFont="1" applyFill="1" applyProtection="1">
      <protection locked="0"/>
    </xf>
    <xf numFmtId="0" fontId="8" fillId="2" borderId="0" xfId="0" applyFont="1" applyProtection="1">
      <protection locked="0"/>
    </xf>
    <xf numFmtId="3" fontId="2" fillId="2" borderId="0" xfId="0" applyNumberFormat="1" applyFont="1" applyAlignment="1" applyProtection="1">
      <alignment horizontal="right"/>
      <protection locked="0"/>
    </xf>
    <xf numFmtId="0" fontId="2" fillId="2" borderId="0" xfId="0" applyFont="1" applyAlignment="1" applyProtection="1">
      <alignment horizontal="center"/>
      <protection locked="0"/>
    </xf>
    <xf numFmtId="0" fontId="2" fillId="2" borderId="0" xfId="0" applyFont="1" applyProtection="1">
      <protection locked="0"/>
    </xf>
    <xf numFmtId="3" fontId="2" fillId="2" borderId="0" xfId="0" applyNumberFormat="1" applyFont="1" applyProtection="1">
      <protection locked="0"/>
    </xf>
    <xf numFmtId="0" fontId="9" fillId="2" borderId="0" xfId="0" applyFont="1" applyProtection="1">
      <protection locked="0"/>
    </xf>
    <xf numFmtId="0" fontId="2" fillId="4" borderId="0" xfId="0" applyFont="1" applyFill="1" applyAlignment="1" applyProtection="1">
      <alignment horizontal="left"/>
      <protection locked="0"/>
    </xf>
    <xf numFmtId="3" fontId="2" fillId="4" borderId="0" xfId="0" applyNumberFormat="1" applyFont="1" applyFill="1" applyProtection="1">
      <protection locked="0"/>
    </xf>
    <xf numFmtId="0" fontId="2" fillId="4" borderId="0" xfId="0" applyFont="1" applyFill="1" applyAlignment="1" applyProtection="1">
      <alignment horizontal="center"/>
      <protection locked="0"/>
    </xf>
    <xf numFmtId="0" fontId="5" fillId="2" borderId="0" xfId="0" applyFont="1" applyProtection="1">
      <protection locked="0"/>
    </xf>
    <xf numFmtId="0" fontId="4" fillId="3" borderId="0" xfId="0" applyFont="1" applyFill="1" applyProtection="1">
      <protection locked="0"/>
    </xf>
    <xf numFmtId="0" fontId="2" fillId="3" borderId="0" xfId="0" applyFont="1" applyFill="1" applyProtection="1">
      <protection locked="0"/>
    </xf>
    <xf numFmtId="0" fontId="4" fillId="3" borderId="4" xfId="0" applyFont="1" applyFill="1" applyBorder="1" applyProtection="1">
      <protection locked="0"/>
    </xf>
    <xf numFmtId="0" fontId="2" fillId="3" borderId="2" xfId="0" applyFont="1" applyFill="1" applyBorder="1"/>
    <xf numFmtId="0" fontId="2" fillId="2" borderId="9" xfId="0" applyFont="1" applyBorder="1"/>
    <xf numFmtId="0" fontId="2" fillId="2" borderId="10" xfId="0" applyFont="1" applyBorder="1"/>
    <xf numFmtId="0" fontId="3" fillId="2" borderId="0" xfId="0" applyFont="1" applyAlignment="1">
      <alignment horizontal="left"/>
    </xf>
    <xf numFmtId="0" fontId="2" fillId="2" borderId="0" xfId="0" quotePrefix="1" applyFont="1" applyAlignment="1">
      <alignment horizontal="left" indent="1"/>
    </xf>
    <xf numFmtId="0" fontId="2" fillId="6" borderId="0" xfId="0" applyFont="1" applyFill="1"/>
    <xf numFmtId="0" fontId="13" fillId="2" borderId="0" xfId="0" applyFont="1"/>
    <xf numFmtId="0" fontId="2" fillId="3" borderId="0" xfId="0" applyFont="1" applyFill="1" applyAlignment="1">
      <alignment horizontal="center"/>
    </xf>
    <xf numFmtId="0" fontId="2" fillId="4" borderId="0" xfId="0" applyFont="1" applyFill="1" applyAlignment="1">
      <alignment horizontal="center"/>
    </xf>
    <xf numFmtId="49" fontId="2" fillId="2" borderId="0" xfId="0" applyNumberFormat="1" applyFont="1"/>
    <xf numFmtId="49" fontId="2" fillId="4" borderId="0" xfId="0" applyNumberFormat="1" applyFont="1" applyFill="1"/>
    <xf numFmtId="0" fontId="2" fillId="2" borderId="0" xfId="0" applyFont="1" applyAlignment="1">
      <alignment horizontal="left" vertical="center" wrapText="1"/>
    </xf>
    <xf numFmtId="0" fontId="5" fillId="2" borderId="0" xfId="0" applyFont="1"/>
    <xf numFmtId="0" fontId="2" fillId="2" borderId="0" xfId="0" applyFont="1" applyAlignment="1">
      <alignment horizontal="left" vertical="center" indent="1"/>
    </xf>
    <xf numFmtId="0" fontId="2" fillId="2" borderId="0" xfId="0" applyFont="1" applyAlignment="1">
      <alignment vertical="center"/>
    </xf>
    <xf numFmtId="0" fontId="2" fillId="2" borderId="1" xfId="0" applyFont="1" applyBorder="1" applyAlignment="1">
      <alignment horizontal="center" vertical="center" wrapText="1"/>
    </xf>
    <xf numFmtId="0" fontId="6" fillId="2" borderId="4" xfId="0" applyFont="1" applyBorder="1" applyAlignment="1">
      <alignment horizontal="center" vertical="center"/>
    </xf>
    <xf numFmtId="0" fontId="2" fillId="2" borderId="0" xfId="0" applyFont="1" applyAlignment="1">
      <alignment horizontal="left" indent="1"/>
    </xf>
    <xf numFmtId="0" fontId="5" fillId="2" borderId="1" xfId="0" applyFont="1" applyBorder="1" applyAlignment="1">
      <alignment horizontal="left" vertical="center" wrapText="1"/>
    </xf>
    <xf numFmtId="9" fontId="2" fillId="2" borderId="0" xfId="0" applyNumberFormat="1" applyFont="1"/>
    <xf numFmtId="49" fontId="2" fillId="2" borderId="0" xfId="0" applyNumberFormat="1" applyFont="1" applyAlignment="1">
      <alignment horizontal="center"/>
    </xf>
    <xf numFmtId="49" fontId="2" fillId="3" borderId="0" xfId="0" applyNumberFormat="1" applyFont="1" applyFill="1" applyAlignment="1">
      <alignment horizontal="center"/>
    </xf>
    <xf numFmtId="0" fontId="5" fillId="2" borderId="0" xfId="0" applyFont="1" applyAlignment="1">
      <alignment vertical="center"/>
    </xf>
    <xf numFmtId="0" fontId="2" fillId="3" borderId="11" xfId="0" applyFont="1" applyFill="1" applyBorder="1"/>
    <xf numFmtId="0" fontId="2" fillId="4" borderId="11" xfId="0" applyFont="1" applyFill="1" applyBorder="1"/>
    <xf numFmtId="0" fontId="2" fillId="6" borderId="11" xfId="0" applyFont="1" applyFill="1" applyBorder="1"/>
    <xf numFmtId="0" fontId="2" fillId="6" borderId="12" xfId="0" applyFont="1" applyFill="1" applyBorder="1"/>
    <xf numFmtId="0" fontId="4" fillId="6" borderId="5" xfId="1" applyFont="1" applyFill="1" applyBorder="1"/>
    <xf numFmtId="3" fontId="2" fillId="2" borderId="1" xfId="0" applyNumberFormat="1" applyFont="1" applyBorder="1" applyAlignment="1">
      <alignment horizontal="left" vertical="center" wrapText="1"/>
    </xf>
    <xf numFmtId="0" fontId="2" fillId="2" borderId="1" xfId="0" applyFont="1" applyBorder="1" applyAlignment="1">
      <alignment horizontal="left" vertical="center"/>
    </xf>
    <xf numFmtId="0" fontId="4" fillId="2" borderId="1" xfId="0" applyFont="1" applyBorder="1" applyAlignment="1">
      <alignment vertical="center" wrapText="1"/>
    </xf>
    <xf numFmtId="9" fontId="2" fillId="2" borderId="1" xfId="0" applyNumberFormat="1" applyFont="1" applyBorder="1" applyAlignment="1">
      <alignment horizontal="left" vertical="center" wrapText="1"/>
    </xf>
    <xf numFmtId="0" fontId="19" fillId="2" borderId="1" xfId="0" applyFont="1" applyBorder="1" applyAlignment="1">
      <alignment vertical="center" wrapText="1"/>
    </xf>
    <xf numFmtId="1" fontId="2" fillId="2" borderId="0" xfId="0" applyNumberFormat="1" applyFont="1" applyAlignment="1">
      <alignment horizontal="center"/>
    </xf>
    <xf numFmtId="1" fontId="2" fillId="4" borderId="0" xfId="0" applyNumberFormat="1" applyFont="1" applyFill="1" applyAlignment="1">
      <alignment horizontal="center"/>
    </xf>
    <xf numFmtId="0" fontId="4" fillId="6" borderId="0" xfId="0" applyFont="1" applyFill="1"/>
    <xf numFmtId="0" fontId="5" fillId="6" borderId="0" xfId="0" applyFont="1" applyFill="1" applyAlignment="1" applyProtection="1">
      <alignment horizontal="left"/>
      <protection locked="0"/>
    </xf>
    <xf numFmtId="0" fontId="2" fillId="6" borderId="0" xfId="0" applyFont="1" applyFill="1" applyAlignment="1">
      <alignment horizontal="center"/>
    </xf>
    <xf numFmtId="49" fontId="2" fillId="6" borderId="0" xfId="0" applyNumberFormat="1" applyFont="1" applyFill="1" applyAlignment="1">
      <alignment horizontal="center"/>
    </xf>
    <xf numFmtId="0" fontId="2" fillId="6" borderId="7" xfId="0" applyFont="1" applyFill="1" applyBorder="1"/>
    <xf numFmtId="0" fontId="2" fillId="6" borderId="0" xfId="0" applyFont="1" applyFill="1" applyAlignment="1">
      <alignment horizontal="right"/>
    </xf>
    <xf numFmtId="1" fontId="2" fillId="2" borderId="0" xfId="2" applyNumberFormat="1" applyFont="1" applyFill="1"/>
    <xf numFmtId="0" fontId="20" fillId="2" borderId="0" xfId="0" applyFont="1"/>
    <xf numFmtId="0" fontId="4" fillId="3" borderId="0" xfId="0" applyFont="1" applyFill="1" applyAlignment="1">
      <alignment horizontal="right"/>
    </xf>
    <xf numFmtId="0" fontId="5" fillId="3" borderId="0" xfId="0" applyFont="1" applyFill="1" applyAlignment="1">
      <alignment horizontal="right"/>
    </xf>
    <xf numFmtId="0" fontId="5" fillId="6" borderId="0" xfId="0" applyFont="1" applyFill="1" applyAlignment="1">
      <alignment horizontal="right"/>
    </xf>
    <xf numFmtId="0" fontId="4" fillId="3" borderId="3" xfId="0" applyFont="1" applyFill="1" applyBorder="1" applyAlignment="1">
      <alignment horizontal="right"/>
    </xf>
    <xf numFmtId="165" fontId="4" fillId="3" borderId="3" xfId="5" applyNumberFormat="1" applyFont="1" applyFill="1" applyBorder="1"/>
    <xf numFmtId="165" fontId="2" fillId="2" borderId="4" xfId="5" applyNumberFormat="1" applyFont="1" applyFill="1" applyBorder="1"/>
    <xf numFmtId="9" fontId="2" fillId="2" borderId="9" xfId="0" applyNumberFormat="1" applyFont="1" applyBorder="1"/>
    <xf numFmtId="166" fontId="2" fillId="2" borderId="9" xfId="0" applyNumberFormat="1" applyFont="1" applyBorder="1" applyAlignment="1">
      <alignment horizontal="center"/>
    </xf>
    <xf numFmtId="0" fontId="5" fillId="3" borderId="7" xfId="0" applyFont="1" applyFill="1" applyBorder="1" applyAlignment="1">
      <alignment horizontal="center"/>
    </xf>
    <xf numFmtId="9" fontId="2" fillId="2" borderId="0" xfId="2" applyFont="1" applyFill="1"/>
    <xf numFmtId="0" fontId="23" fillId="2" borderId="0" xfId="0" applyFont="1"/>
    <xf numFmtId="0" fontId="22" fillId="2" borderId="0" xfId="0" applyFont="1"/>
    <xf numFmtId="0" fontId="2" fillId="2" borderId="0" xfId="0" applyFont="1" applyAlignment="1">
      <alignment horizontal="center" vertical="center" wrapText="1"/>
    </xf>
    <xf numFmtId="9" fontId="2" fillId="2" borderId="0" xfId="0" applyNumberFormat="1" applyFont="1" applyAlignment="1">
      <alignment vertical="center"/>
    </xf>
    <xf numFmtId="9" fontId="2" fillId="9" borderId="7" xfId="3" applyNumberFormat="1" applyAlignment="1">
      <alignment vertical="center"/>
    </xf>
    <xf numFmtId="0" fontId="4" fillId="2" borderId="0" xfId="0" applyFont="1" applyAlignment="1">
      <alignment vertical="center"/>
    </xf>
    <xf numFmtId="0" fontId="12" fillId="2" borderId="0" xfId="0" applyFont="1" applyAlignment="1">
      <alignment vertical="center"/>
    </xf>
    <xf numFmtId="0" fontId="4" fillId="2" borderId="0" xfId="0" applyFont="1" applyAlignment="1">
      <alignment horizontal="center" vertical="center" wrapText="1"/>
    </xf>
    <xf numFmtId="0" fontId="4" fillId="4" borderId="3" xfId="0"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2" fillId="7" borderId="5" xfId="0" applyFont="1" applyFill="1" applyBorder="1"/>
    <xf numFmtId="0" fontId="4" fillId="7" borderId="5" xfId="0" applyFont="1" applyFill="1" applyBorder="1"/>
    <xf numFmtId="0" fontId="2" fillId="4" borderId="12" xfId="0" applyFont="1" applyFill="1" applyBorder="1"/>
    <xf numFmtId="0" fontId="4" fillId="4" borderId="5" xfId="0" applyFont="1" applyFill="1" applyBorder="1"/>
    <xf numFmtId="0" fontId="4" fillId="2" borderId="4" xfId="0" applyFont="1" applyBorder="1" applyAlignment="1">
      <alignment horizontal="center"/>
    </xf>
    <xf numFmtId="3" fontId="2" fillId="2" borderId="0" xfId="0" applyNumberFormat="1" applyFont="1" applyAlignment="1">
      <alignment horizontal="center"/>
    </xf>
    <xf numFmtId="0" fontId="2" fillId="2" borderId="4" xfId="0" applyFont="1" applyBorder="1" applyAlignment="1">
      <alignment horizontal="center"/>
    </xf>
    <xf numFmtId="0" fontId="2" fillId="2" borderId="7" xfId="3" applyFill="1"/>
    <xf numFmtId="0" fontId="2" fillId="2" borderId="0" xfId="0" applyFont="1" applyAlignment="1">
      <alignment horizontal="center" wrapText="1"/>
    </xf>
    <xf numFmtId="0" fontId="2" fillId="2" borderId="0" xfId="0" applyFont="1" applyAlignment="1" applyProtection="1">
      <alignment horizontal="left" vertical="center"/>
      <protection locked="0"/>
    </xf>
    <xf numFmtId="1" fontId="2" fillId="2" borderId="0" xfId="0" applyNumberFormat="1" applyFont="1" applyAlignment="1">
      <alignment horizontal="center" vertical="center"/>
    </xf>
    <xf numFmtId="49" fontId="2" fillId="3" borderId="0" xfId="0" applyNumberFormat="1" applyFont="1" applyFill="1" applyAlignment="1">
      <alignment horizontal="center" vertical="center"/>
    </xf>
    <xf numFmtId="0" fontId="25" fillId="2" borderId="0" xfId="0" applyFont="1" applyAlignment="1">
      <alignment horizontal="center"/>
    </xf>
    <xf numFmtId="3" fontId="2" fillId="2" borderId="0" xfId="0" applyNumberFormat="1" applyFont="1"/>
    <xf numFmtId="3" fontId="2" fillId="2" borderId="0" xfId="2" applyNumberFormat="1" applyFont="1" applyFill="1"/>
    <xf numFmtId="0" fontId="5" fillId="3" borderId="12" xfId="0" applyFont="1" applyFill="1" applyBorder="1" applyAlignment="1">
      <alignment horizontal="center"/>
    </xf>
    <xf numFmtId="0" fontId="27" fillId="2" borderId="0" xfId="0" applyFont="1" applyAlignment="1">
      <alignment vertical="center"/>
    </xf>
    <xf numFmtId="14" fontId="2" fillId="2" borderId="0" xfId="0" applyNumberFormat="1" applyFont="1"/>
    <xf numFmtId="0" fontId="2" fillId="2" borderId="0" xfId="4" applyFill="1" applyBorder="1"/>
    <xf numFmtId="3" fontId="2" fillId="2" borderId="0" xfId="4" applyNumberFormat="1" applyFill="1" applyBorder="1"/>
    <xf numFmtId="167" fontId="25" fillId="2" borderId="0" xfId="0" applyNumberFormat="1" applyFont="1"/>
    <xf numFmtId="0" fontId="6" fillId="2" borderId="4" xfId="0" applyFont="1" applyBorder="1" applyAlignment="1">
      <alignment horizontal="center" vertical="center" wrapText="1"/>
    </xf>
    <xf numFmtId="0" fontId="6" fillId="2" borderId="4" xfId="0" applyFont="1" applyBorder="1" applyAlignment="1">
      <alignment vertical="center"/>
    </xf>
    <xf numFmtId="0" fontId="31" fillId="2" borderId="0" xfId="0" applyFont="1"/>
    <xf numFmtId="0" fontId="2" fillId="8" borderId="0" xfId="0" applyFont="1" applyFill="1"/>
    <xf numFmtId="0" fontId="9" fillId="8" borderId="0" xfId="0" applyFont="1" applyFill="1"/>
    <xf numFmtId="0" fontId="10" fillId="8" borderId="0" xfId="0" applyFont="1" applyFill="1"/>
    <xf numFmtId="0" fontId="2" fillId="9" borderId="0" xfId="0" applyFont="1" applyFill="1"/>
    <xf numFmtId="9" fontId="2" fillId="9" borderId="0" xfId="0" applyNumberFormat="1" applyFont="1" applyFill="1"/>
    <xf numFmtId="9" fontId="2" fillId="3" borderId="0" xfId="2" applyFont="1" applyFill="1"/>
    <xf numFmtId="9" fontId="2" fillId="3" borderId="0" xfId="0" applyNumberFormat="1" applyFont="1" applyFill="1"/>
    <xf numFmtId="3" fontId="2" fillId="3" borderId="0" xfId="4" applyNumberFormat="1" applyBorder="1"/>
    <xf numFmtId="0" fontId="2" fillId="3" borderId="0" xfId="4" applyBorder="1"/>
    <xf numFmtId="3" fontId="2" fillId="2" borderId="7" xfId="4" applyNumberFormat="1" applyFill="1"/>
    <xf numFmtId="0" fontId="2" fillId="10" borderId="0" xfId="0" applyFont="1" applyFill="1"/>
    <xf numFmtId="9" fontId="2" fillId="10" borderId="7" xfId="2" applyFont="1" applyFill="1" applyBorder="1"/>
    <xf numFmtId="9" fontId="2" fillId="10" borderId="0" xfId="2" applyFont="1" applyFill="1"/>
    <xf numFmtId="0" fontId="2" fillId="10" borderId="7" xfId="3" applyFill="1"/>
    <xf numFmtId="168" fontId="2" fillId="2" borderId="1" xfId="0" applyNumberFormat="1" applyFont="1" applyBorder="1" applyAlignment="1">
      <alignment horizontal="left" vertical="center" wrapText="1"/>
    </xf>
    <xf numFmtId="169" fontId="2" fillId="2" borderId="1" xfId="0" applyNumberFormat="1" applyFont="1" applyBorder="1" applyAlignment="1">
      <alignment horizontal="left" vertical="center" wrapText="1"/>
    </xf>
    <xf numFmtId="14" fontId="2" fillId="2" borderId="1" xfId="0" applyNumberFormat="1" applyFont="1" applyBorder="1" applyAlignment="1">
      <alignment horizontal="center"/>
    </xf>
    <xf numFmtId="0" fontId="4" fillId="2" borderId="0" xfId="0" applyFont="1" applyAlignment="1">
      <alignment horizontal="left" vertical="center"/>
    </xf>
    <xf numFmtId="0" fontId="4" fillId="4" borderId="3" xfId="0" applyFont="1" applyFill="1" applyBorder="1" applyAlignment="1">
      <alignment horizontal="center"/>
    </xf>
    <xf numFmtId="0" fontId="4" fillId="3" borderId="3" xfId="0" applyFont="1" applyFill="1" applyBorder="1" applyAlignment="1">
      <alignment horizontal="center"/>
    </xf>
    <xf numFmtId="0" fontId="5" fillId="2" borderId="0" xfId="0" applyFont="1" applyAlignment="1">
      <alignment horizontal="center"/>
    </xf>
    <xf numFmtId="0" fontId="5" fillId="2" borderId="4" xfId="0" applyFont="1" applyBorder="1" applyAlignment="1">
      <alignment horizontal="center"/>
    </xf>
    <xf numFmtId="170" fontId="2" fillId="2" borderId="8" xfId="0" applyNumberFormat="1" applyFont="1" applyBorder="1"/>
    <xf numFmtId="0" fontId="2" fillId="2" borderId="0" xfId="0" applyFont="1" applyAlignment="1">
      <alignment horizontal="center" vertical="center"/>
    </xf>
    <xf numFmtId="0" fontId="2" fillId="2" borderId="3" xfId="0" applyFont="1" applyBorder="1" applyAlignment="1">
      <alignment horizontal="center" vertical="center"/>
    </xf>
    <xf numFmtId="0" fontId="2" fillId="2" borderId="4" xfId="0" applyFont="1" applyBorder="1" applyAlignment="1">
      <alignment horizontal="center" vertical="center"/>
    </xf>
    <xf numFmtId="0" fontId="4" fillId="6" borderId="3" xfId="0" applyFont="1" applyFill="1" applyBorder="1" applyAlignment="1">
      <alignment horizontal="center" vertical="center"/>
    </xf>
    <xf numFmtId="0" fontId="4" fillId="7" borderId="3" xfId="0" applyFont="1" applyFill="1" applyBorder="1" applyAlignment="1">
      <alignment horizontal="center" vertical="center"/>
    </xf>
    <xf numFmtId="0" fontId="4" fillId="3" borderId="6" xfId="0" applyFont="1" applyFill="1" applyBorder="1" applyAlignment="1">
      <alignment horizontal="center"/>
    </xf>
    <xf numFmtId="0" fontId="4" fillId="4" borderId="6" xfId="0" applyFont="1" applyFill="1" applyBorder="1" applyAlignment="1">
      <alignment horizontal="center"/>
    </xf>
    <xf numFmtId="0" fontId="4" fillId="6" borderId="6" xfId="1" applyFont="1" applyFill="1" applyBorder="1" applyAlignment="1">
      <alignment horizontal="center" vertical="center"/>
    </xf>
    <xf numFmtId="0" fontId="4" fillId="7" borderId="6" xfId="0" applyFont="1" applyFill="1" applyBorder="1" applyAlignment="1">
      <alignment horizontal="center" vertical="center"/>
    </xf>
    <xf numFmtId="3" fontId="2" fillId="2" borderId="6" xfId="0" applyNumberFormat="1" applyFont="1" applyBorder="1" applyAlignment="1">
      <alignment horizontal="center" vertical="center"/>
    </xf>
    <xf numFmtId="3" fontId="2" fillId="2" borderId="8" xfId="0" applyNumberFormat="1" applyFont="1" applyBorder="1" applyAlignment="1">
      <alignment horizontal="center" vertical="center"/>
    </xf>
    <xf numFmtId="3" fontId="2" fillId="2" borderId="10" xfId="0" applyNumberFormat="1" applyFont="1" applyBorder="1" applyAlignment="1">
      <alignment horizontal="center" vertical="center"/>
    </xf>
    <xf numFmtId="170" fontId="2" fillId="2" borderId="8" xfId="0" applyNumberFormat="1" applyFont="1" applyBorder="1" applyAlignment="1">
      <alignment horizontal="center" vertical="center"/>
    </xf>
    <xf numFmtId="0" fontId="2" fillId="2" borderId="2" xfId="0" applyFont="1" applyBorder="1" applyAlignment="1">
      <alignment horizontal="center" vertical="center"/>
    </xf>
    <xf numFmtId="170" fontId="2" fillId="2" borderId="9" xfId="0" applyNumberFormat="1" applyFont="1" applyBorder="1"/>
    <xf numFmtId="170" fontId="5" fillId="2" borderId="9" xfId="0" applyNumberFormat="1" applyFont="1" applyBorder="1"/>
    <xf numFmtId="170" fontId="5" fillId="2" borderId="10" xfId="0" applyNumberFormat="1" applyFont="1" applyBorder="1"/>
    <xf numFmtId="0" fontId="4" fillId="2" borderId="4" xfId="0" applyFont="1" applyBorder="1"/>
    <xf numFmtId="3" fontId="2" fillId="6" borderId="0" xfId="0" applyNumberFormat="1" applyFont="1" applyFill="1"/>
    <xf numFmtId="0" fontId="4" fillId="6" borderId="2" xfId="1" applyFont="1" applyFill="1" applyBorder="1"/>
    <xf numFmtId="0" fontId="2" fillId="6" borderId="2" xfId="0" applyFont="1" applyFill="1" applyBorder="1"/>
    <xf numFmtId="0" fontId="4" fillId="6" borderId="0" xfId="0" applyFont="1" applyFill="1" applyProtection="1">
      <protection locked="0"/>
    </xf>
    <xf numFmtId="0" fontId="4" fillId="6" borderId="2" xfId="0" applyFont="1" applyFill="1" applyBorder="1"/>
    <xf numFmtId="0" fontId="2" fillId="6" borderId="4" xfId="0" applyFont="1" applyFill="1" applyBorder="1" applyAlignment="1">
      <alignment horizontal="right"/>
    </xf>
    <xf numFmtId="0" fontId="2" fillId="6" borderId="8" xfId="0" applyFont="1" applyFill="1" applyBorder="1"/>
    <xf numFmtId="0" fontId="2" fillId="6" borderId="9" xfId="0" applyFont="1" applyFill="1" applyBorder="1"/>
    <xf numFmtId="0" fontId="4" fillId="3" borderId="10" xfId="0" applyFont="1" applyFill="1" applyBorder="1" applyProtection="1">
      <protection locked="0"/>
    </xf>
    <xf numFmtId="165" fontId="4" fillId="3" borderId="0" xfId="5" applyNumberFormat="1" applyFont="1" applyFill="1" applyBorder="1"/>
    <xf numFmtId="165" fontId="4" fillId="3" borderId="9" xfId="5" applyNumberFormat="1" applyFont="1" applyFill="1" applyBorder="1"/>
    <xf numFmtId="165" fontId="2" fillId="2" borderId="0" xfId="5" applyNumberFormat="1" applyFont="1" applyFill="1" applyBorder="1"/>
    <xf numFmtId="165" fontId="2" fillId="10" borderId="0" xfId="5" applyNumberFormat="1" applyFont="1" applyFill="1" applyBorder="1"/>
    <xf numFmtId="165" fontId="2" fillId="10" borderId="9" xfId="5" applyNumberFormat="1" applyFont="1" applyFill="1" applyBorder="1"/>
    <xf numFmtId="165" fontId="2" fillId="2" borderId="9" xfId="5" applyNumberFormat="1" applyFont="1" applyFill="1" applyBorder="1"/>
    <xf numFmtId="165" fontId="4" fillId="3" borderId="6" xfId="5" applyNumberFormat="1" applyFont="1" applyFill="1" applyBorder="1"/>
    <xf numFmtId="165" fontId="2" fillId="3" borderId="0" xfId="5" applyNumberFormat="1" applyFont="1" applyFill="1" applyBorder="1"/>
    <xf numFmtId="165" fontId="2" fillId="3" borderId="9" xfId="5" applyNumberFormat="1" applyFont="1" applyFill="1" applyBorder="1"/>
    <xf numFmtId="165" fontId="2" fillId="2" borderId="10" xfId="5" applyNumberFormat="1" applyFont="1" applyFill="1" applyBorder="1"/>
    <xf numFmtId="0" fontId="4" fillId="3" borderId="2" xfId="0" applyFont="1" applyFill="1" applyBorder="1" applyProtection="1">
      <protection locked="0"/>
    </xf>
    <xf numFmtId="165" fontId="2" fillId="3" borderId="2" xfId="5" applyNumberFormat="1" applyFont="1" applyFill="1" applyBorder="1"/>
    <xf numFmtId="165" fontId="2" fillId="3" borderId="8" xfId="5" applyNumberFormat="1" applyFont="1" applyFill="1" applyBorder="1"/>
    <xf numFmtId="0" fontId="9" fillId="2" borderId="4" xfId="0" applyFont="1" applyBorder="1" applyProtection="1">
      <protection locked="0"/>
    </xf>
    <xf numFmtId="0" fontId="2" fillId="2" borderId="4" xfId="0" applyFont="1" applyBorder="1" applyAlignment="1" applyProtection="1">
      <alignment horizontal="left"/>
      <protection locked="0"/>
    </xf>
    <xf numFmtId="3" fontId="2" fillId="2" borderId="4" xfId="0" applyNumberFormat="1" applyFont="1" applyBorder="1" applyProtection="1">
      <protection locked="0"/>
    </xf>
    <xf numFmtId="0" fontId="2" fillId="2" borderId="4" xfId="0" applyFont="1" applyBorder="1" applyAlignment="1" applyProtection="1">
      <alignment horizontal="center"/>
      <protection locked="0"/>
    </xf>
    <xf numFmtId="0" fontId="2" fillId="4" borderId="9" xfId="0" applyFont="1" applyFill="1" applyBorder="1"/>
    <xf numFmtId="0" fontId="2" fillId="4" borderId="10" xfId="0" applyFont="1" applyFill="1" applyBorder="1"/>
    <xf numFmtId="0" fontId="4" fillId="4" borderId="2" xfId="0" applyFont="1" applyFill="1" applyBorder="1" applyProtection="1">
      <protection locked="0"/>
    </xf>
    <xf numFmtId="0" fontId="2" fillId="4" borderId="2" xfId="0" applyFont="1" applyFill="1" applyBorder="1" applyProtection="1">
      <protection locked="0"/>
    </xf>
    <xf numFmtId="0" fontId="2" fillId="4" borderId="2" xfId="0" applyFont="1" applyFill="1" applyBorder="1"/>
    <xf numFmtId="0" fontId="2" fillId="4" borderId="8" xfId="0" applyFont="1" applyFill="1" applyBorder="1"/>
    <xf numFmtId="0" fontId="2" fillId="2" borderId="2" xfId="0" applyFont="1" applyBorder="1" applyAlignment="1">
      <alignment horizontal="center"/>
    </xf>
    <xf numFmtId="3" fontId="2" fillId="2" borderId="9" xfId="0" applyNumberFormat="1" applyFont="1" applyBorder="1" applyAlignment="1">
      <alignment horizontal="center"/>
    </xf>
    <xf numFmtId="3" fontId="2" fillId="2" borderId="10" xfId="0" applyNumberFormat="1" applyFont="1" applyBorder="1" applyAlignment="1">
      <alignment horizontal="center"/>
    </xf>
    <xf numFmtId="4" fontId="2" fillId="9" borderId="1" xfId="0" applyNumberFormat="1" applyFont="1" applyFill="1" applyBorder="1" applyAlignment="1">
      <alignment horizontal="center" vertical="center" wrapText="1"/>
    </xf>
    <xf numFmtId="4" fontId="2" fillId="2" borderId="1" xfId="0" applyNumberFormat="1" applyFont="1" applyBorder="1" applyAlignment="1">
      <alignment horizontal="center" vertical="center" wrapText="1"/>
    </xf>
    <xf numFmtId="3" fontId="0" fillId="2" borderId="14" xfId="0" applyNumberFormat="1" applyBorder="1"/>
    <xf numFmtId="3" fontId="0" fillId="11" borderId="14" xfId="0" applyNumberFormat="1" applyFill="1" applyBorder="1"/>
    <xf numFmtId="0" fontId="0" fillId="11" borderId="13" xfId="0" applyFill="1" applyBorder="1"/>
    <xf numFmtId="0" fontId="0" fillId="2" borderId="13" xfId="0" applyBorder="1"/>
    <xf numFmtId="0" fontId="2" fillId="13" borderId="0" xfId="0" applyFont="1" applyFill="1"/>
    <xf numFmtId="0" fontId="2" fillId="12" borderId="16" xfId="0" applyFont="1" applyFill="1" applyBorder="1"/>
    <xf numFmtId="0" fontId="2" fillId="12" borderId="18" xfId="0" applyFont="1" applyFill="1" applyBorder="1"/>
    <xf numFmtId="0" fontId="2" fillId="13" borderId="17" xfId="0" applyFont="1" applyFill="1" applyBorder="1"/>
    <xf numFmtId="0" fontId="2" fillId="13" borderId="19" xfId="0" applyFont="1" applyFill="1" applyBorder="1"/>
    <xf numFmtId="0" fontId="2" fillId="13" borderId="0" xfId="0" applyFont="1" applyFill="1" applyAlignment="1">
      <alignment horizontal="left" vertical="center" wrapText="1"/>
    </xf>
    <xf numFmtId="0" fontId="2" fillId="13" borderId="19" xfId="0" applyFont="1" applyFill="1" applyBorder="1" applyAlignment="1">
      <alignment horizontal="left" vertical="center" wrapText="1"/>
    </xf>
    <xf numFmtId="0" fontId="2" fillId="13" borderId="20" xfId="0" applyFont="1" applyFill="1" applyBorder="1"/>
    <xf numFmtId="0" fontId="2" fillId="13" borderId="21" xfId="0" applyFont="1" applyFill="1" applyBorder="1"/>
    <xf numFmtId="0" fontId="2" fillId="13" borderId="22" xfId="0" applyFont="1" applyFill="1" applyBorder="1"/>
    <xf numFmtId="0" fontId="4" fillId="13" borderId="3"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9" xfId="0" applyFont="1" applyFill="1" applyBorder="1" applyAlignment="1">
      <alignment horizontal="center" vertical="center" wrapText="1"/>
    </xf>
    <xf numFmtId="9" fontId="2" fillId="13" borderId="0" xfId="2" applyFont="1" applyFill="1" applyBorder="1" applyAlignment="1">
      <alignment horizontal="center" vertical="center" wrapText="1"/>
    </xf>
    <xf numFmtId="170" fontId="2" fillId="13" borderId="0" xfId="0" applyNumberFormat="1" applyFont="1" applyFill="1"/>
    <xf numFmtId="0" fontId="2" fillId="13" borderId="0" xfId="0" applyFont="1" applyFill="1" applyAlignment="1">
      <alignment horizontal="center" vertical="center" wrapText="1"/>
    </xf>
    <xf numFmtId="0" fontId="2" fillId="4" borderId="17" xfId="0" applyFont="1" applyFill="1" applyBorder="1" applyAlignment="1">
      <alignment horizontal="right"/>
    </xf>
    <xf numFmtId="0" fontId="4" fillId="4" borderId="17" xfId="0" applyFont="1" applyFill="1" applyBorder="1"/>
    <xf numFmtId="0" fontId="2" fillId="3" borderId="17" xfId="0" applyFont="1" applyFill="1" applyBorder="1" applyAlignment="1">
      <alignment horizontal="left"/>
    </xf>
    <xf numFmtId="0" fontId="2" fillId="3" borderId="17" xfId="0" applyFont="1" applyFill="1" applyBorder="1" applyAlignment="1">
      <alignment horizontal="center"/>
    </xf>
    <xf numFmtId="0" fontId="5" fillId="13" borderId="0" xfId="0" applyFont="1" applyFill="1"/>
    <xf numFmtId="170" fontId="5" fillId="13" borderId="0" xfId="0" applyNumberFormat="1" applyFont="1" applyFill="1"/>
    <xf numFmtId="0" fontId="2" fillId="6" borderId="17" xfId="0" applyFont="1" applyFill="1" applyBorder="1"/>
    <xf numFmtId="0" fontId="2" fillId="7" borderId="20" xfId="0" applyFont="1" applyFill="1" applyBorder="1"/>
    <xf numFmtId="9" fontId="2" fillId="13" borderId="0" xfId="2" applyFont="1" applyFill="1" applyBorder="1" applyAlignment="1">
      <alignment horizontal="left" vertical="center" wrapText="1"/>
    </xf>
    <xf numFmtId="0" fontId="4" fillId="13"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2" xfId="0" applyFont="1" applyFill="1" applyBorder="1"/>
    <xf numFmtId="170" fontId="2" fillId="13" borderId="2" xfId="0" applyNumberFormat="1" applyFont="1" applyFill="1" applyBorder="1"/>
    <xf numFmtId="0" fontId="4" fillId="4" borderId="25" xfId="0" applyFont="1" applyFill="1" applyBorder="1" applyAlignment="1">
      <alignment horizontal="left" vertical="center" wrapText="1"/>
    </xf>
    <xf numFmtId="0" fontId="4" fillId="13" borderId="26" xfId="0" applyFont="1" applyFill="1" applyBorder="1" applyAlignment="1">
      <alignment horizontal="center" vertical="center" wrapText="1"/>
    </xf>
    <xf numFmtId="0" fontId="2" fillId="3" borderId="25" xfId="0" applyFont="1" applyFill="1" applyBorder="1" applyAlignment="1">
      <alignment horizontal="left"/>
    </xf>
    <xf numFmtId="0" fontId="2" fillId="13" borderId="26" xfId="0" applyFont="1" applyFill="1" applyBorder="1"/>
    <xf numFmtId="0" fontId="2" fillId="6" borderId="25" xfId="0" applyFont="1" applyFill="1" applyBorder="1"/>
    <xf numFmtId="0" fontId="2" fillId="7" borderId="25" xfId="0" applyFont="1" applyFill="1" applyBorder="1"/>
    <xf numFmtId="10" fontId="2" fillId="13" borderId="0" xfId="2" applyNumberFormat="1" applyFont="1" applyFill="1" applyBorder="1" applyAlignment="1">
      <alignment horizontal="right"/>
    </xf>
    <xf numFmtId="166" fontId="2" fillId="13" borderId="0" xfId="0" applyNumberFormat="1" applyFont="1" applyFill="1" applyAlignment="1">
      <alignment horizontal="right"/>
    </xf>
    <xf numFmtId="172" fontId="2" fillId="13" borderId="2" xfId="0" applyNumberFormat="1" applyFont="1" applyFill="1" applyBorder="1" applyAlignment="1">
      <alignment horizontal="right"/>
    </xf>
    <xf numFmtId="172" fontId="2" fillId="13" borderId="0" xfId="0" applyNumberFormat="1" applyFont="1" applyFill="1" applyAlignment="1">
      <alignment horizontal="right"/>
    </xf>
    <xf numFmtId="172" fontId="2" fillId="13" borderId="21" xfId="0" applyNumberFormat="1" applyFont="1" applyFill="1" applyBorder="1" applyAlignment="1">
      <alignment horizontal="right"/>
    </xf>
    <xf numFmtId="0" fontId="4" fillId="3" borderId="11" xfId="0" applyFont="1" applyFill="1" applyBorder="1" applyProtection="1">
      <protection locked="0"/>
    </xf>
    <xf numFmtId="0" fontId="2" fillId="3" borderId="2" xfId="0" applyFont="1" applyFill="1" applyBorder="1" applyProtection="1">
      <protection locked="0"/>
    </xf>
    <xf numFmtId="0" fontId="4" fillId="3" borderId="12" xfId="0" applyFont="1" applyFill="1" applyBorder="1" applyProtection="1">
      <protection locked="0"/>
    </xf>
    <xf numFmtId="0" fontId="4" fillId="3" borderId="7" xfId="0" applyFont="1" applyFill="1" applyBorder="1"/>
    <xf numFmtId="0" fontId="4" fillId="3" borderId="5" xfId="0" applyFont="1" applyFill="1" applyBorder="1"/>
    <xf numFmtId="0" fontId="4" fillId="3" borderId="7" xfId="0" applyFont="1" applyFill="1" applyBorder="1" applyProtection="1">
      <protection locked="0"/>
    </xf>
    <xf numFmtId="9" fontId="2" fillId="2" borderId="8" xfId="2" applyFont="1" applyFill="1" applyBorder="1" applyAlignment="1">
      <alignment horizontal="center" vertical="center"/>
    </xf>
    <xf numFmtId="9" fontId="2" fillId="2" borderId="9" xfId="2" applyFont="1" applyFill="1" applyBorder="1" applyAlignment="1">
      <alignment horizontal="center" vertical="center"/>
    </xf>
    <xf numFmtId="9" fontId="2" fillId="2" borderId="10" xfId="2" applyFont="1" applyFill="1" applyBorder="1" applyAlignment="1">
      <alignment horizontal="center" vertical="center"/>
    </xf>
    <xf numFmtId="0" fontId="2" fillId="2" borderId="27" xfId="6" applyFont="1" applyFill="1" applyBorder="1"/>
    <xf numFmtId="0" fontId="2" fillId="2" borderId="0" xfId="6" applyFont="1" applyFill="1"/>
    <xf numFmtId="0" fontId="33" fillId="12" borderId="16" xfId="6" applyFont="1" applyFill="1" applyBorder="1"/>
    <xf numFmtId="0" fontId="33" fillId="12" borderId="18" xfId="6" applyFont="1" applyFill="1" applyBorder="1"/>
    <xf numFmtId="0" fontId="2" fillId="13" borderId="17" xfId="6" applyFont="1" applyFill="1" applyBorder="1"/>
    <xf numFmtId="0" fontId="2" fillId="13" borderId="0" xfId="6" applyFont="1" applyFill="1"/>
    <xf numFmtId="0" fontId="2" fillId="13" borderId="19" xfId="6" applyFont="1" applyFill="1" applyBorder="1"/>
    <xf numFmtId="0" fontId="2" fillId="13" borderId="20" xfId="6" applyFont="1" applyFill="1" applyBorder="1"/>
    <xf numFmtId="0" fontId="2" fillId="13" borderId="21" xfId="6" applyFont="1" applyFill="1" applyBorder="1"/>
    <xf numFmtId="0" fontId="2" fillId="13" borderId="22" xfId="6" applyFont="1" applyFill="1" applyBorder="1"/>
    <xf numFmtId="0" fontId="2" fillId="12" borderId="16" xfId="6" applyFont="1" applyFill="1" applyBorder="1"/>
    <xf numFmtId="0" fontId="2" fillId="12" borderId="18" xfId="6" applyFont="1" applyFill="1" applyBorder="1"/>
    <xf numFmtId="0" fontId="33" fillId="12" borderId="16" xfId="6" applyFont="1" applyFill="1" applyBorder="1" applyAlignment="1">
      <alignment horizontal="left"/>
    </xf>
    <xf numFmtId="0" fontId="2" fillId="0" borderId="0" xfId="6" applyFont="1"/>
    <xf numFmtId="0" fontId="2" fillId="0" borderId="28" xfId="6" applyFont="1" applyBorder="1"/>
    <xf numFmtId="0" fontId="2" fillId="2" borderId="28" xfId="6" applyFont="1" applyFill="1" applyBorder="1"/>
    <xf numFmtId="0" fontId="2" fillId="13" borderId="0" xfId="6" applyFont="1" applyFill="1" applyAlignment="1">
      <alignment horizontal="right"/>
    </xf>
    <xf numFmtId="0" fontId="4" fillId="13" borderId="0" xfId="6" applyFont="1" applyFill="1"/>
    <xf numFmtId="0" fontId="2" fillId="13" borderId="19" xfId="6" applyFont="1" applyFill="1" applyBorder="1" applyAlignment="1">
      <alignment vertical="center" wrapText="1"/>
    </xf>
    <xf numFmtId="0" fontId="34" fillId="12" borderId="15" xfId="6" applyFont="1" applyFill="1" applyBorder="1" applyAlignment="1">
      <alignment horizontal="left"/>
    </xf>
    <xf numFmtId="0" fontId="34" fillId="12" borderId="16" xfId="6" applyFont="1" applyFill="1" applyBorder="1" applyAlignment="1">
      <alignment horizontal="left"/>
    </xf>
    <xf numFmtId="9" fontId="2" fillId="13" borderId="0" xfId="6" applyNumberFormat="1" applyFont="1" applyFill="1"/>
    <xf numFmtId="0" fontId="9" fillId="2" borderId="0" xfId="6" applyFont="1" applyFill="1" applyAlignment="1">
      <alignment horizontal="center"/>
    </xf>
    <xf numFmtId="4" fontId="2" fillId="13" borderId="0" xfId="6" applyNumberFormat="1" applyFont="1" applyFill="1"/>
    <xf numFmtId="9" fontId="2" fillId="13" borderId="0" xfId="2" applyFont="1" applyFill="1" applyBorder="1"/>
    <xf numFmtId="2" fontId="2" fillId="13" borderId="0" xfId="6" applyNumberFormat="1" applyFont="1" applyFill="1"/>
    <xf numFmtId="0" fontId="2" fillId="0" borderId="0" xfId="6" applyFont="1" applyAlignment="1">
      <alignment vertical="top" wrapText="1"/>
    </xf>
    <xf numFmtId="4" fontId="2" fillId="13" borderId="21" xfId="6" applyNumberFormat="1" applyFont="1" applyFill="1" applyBorder="1"/>
    <xf numFmtId="0" fontId="2" fillId="2" borderId="8" xfId="0" applyFont="1" applyBorder="1" applyAlignment="1">
      <alignment horizontal="center" vertical="center"/>
    </xf>
    <xf numFmtId="170" fontId="2" fillId="13" borderId="2" xfId="0" applyNumberFormat="1" applyFont="1" applyFill="1" applyBorder="1" applyAlignment="1">
      <alignment horizontal="right"/>
    </xf>
    <xf numFmtId="0" fontId="4" fillId="13" borderId="17" xfId="0" applyFont="1" applyFill="1" applyBorder="1" applyAlignment="1">
      <alignment horizontal="left" vertical="center"/>
    </xf>
    <xf numFmtId="0" fontId="4" fillId="13" borderId="23"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3" borderId="3" xfId="0" quotePrefix="1" applyFont="1" applyFill="1" applyBorder="1" applyAlignment="1">
      <alignment horizontal="center" vertical="center" wrapText="1"/>
    </xf>
    <xf numFmtId="3" fontId="4" fillId="13" borderId="0" xfId="0" quotePrefix="1" applyNumberFormat="1" applyFont="1" applyFill="1" applyAlignment="1">
      <alignment horizontal="center" vertical="center" wrapText="1"/>
    </xf>
    <xf numFmtId="3" fontId="2" fillId="13" borderId="0" xfId="0" applyNumberFormat="1" applyFont="1" applyFill="1" applyAlignment="1">
      <alignment horizontal="center"/>
    </xf>
    <xf numFmtId="0" fontId="2" fillId="13" borderId="0" xfId="0" applyFont="1" applyFill="1" applyAlignment="1">
      <alignment horizontal="center"/>
    </xf>
    <xf numFmtId="0" fontId="35" fillId="13" borderId="0" xfId="0" applyFont="1" applyFill="1"/>
    <xf numFmtId="0" fontId="2" fillId="13" borderId="21" xfId="0" applyFont="1" applyFill="1" applyBorder="1" applyAlignment="1">
      <alignment horizontal="center"/>
    </xf>
    <xf numFmtId="0" fontId="35" fillId="13" borderId="21" xfId="0" applyFont="1" applyFill="1" applyBorder="1" applyAlignment="1">
      <alignment horizontal="center"/>
    </xf>
    <xf numFmtId="0" fontId="4" fillId="13" borderId="25" xfId="0" applyFont="1" applyFill="1" applyBorder="1" applyAlignment="1">
      <alignment horizontal="left" vertical="center" wrapText="1"/>
    </xf>
    <xf numFmtId="0" fontId="2" fillId="13" borderId="0" xfId="6" applyFont="1" applyFill="1" applyAlignment="1">
      <alignment vertical="top"/>
    </xf>
    <xf numFmtId="0" fontId="2" fillId="13" borderId="0" xfId="6" applyFont="1" applyFill="1" applyAlignment="1">
      <alignment vertical="center" wrapText="1"/>
    </xf>
    <xf numFmtId="169" fontId="2" fillId="13" borderId="0" xfId="6" applyNumberFormat="1" applyFont="1" applyFill="1"/>
    <xf numFmtId="0" fontId="4" fillId="4" borderId="5" xfId="6" applyFont="1" applyFill="1" applyBorder="1"/>
    <xf numFmtId="0" fontId="4" fillId="2" borderId="3" xfId="6" applyFont="1" applyFill="1" applyBorder="1"/>
    <xf numFmtId="0" fontId="4" fillId="2" borderId="6" xfId="6" applyFont="1" applyFill="1" applyBorder="1"/>
    <xf numFmtId="0" fontId="2" fillId="4" borderId="11" xfId="6" applyFont="1" applyFill="1" applyBorder="1"/>
    <xf numFmtId="0" fontId="2" fillId="4" borderId="7" xfId="6" applyFont="1" applyFill="1" applyBorder="1"/>
    <xf numFmtId="0" fontId="2" fillId="4" borderId="12" xfId="6" applyFont="1" applyFill="1" applyBorder="1"/>
    <xf numFmtId="0" fontId="4" fillId="3" borderId="5" xfId="6" applyFont="1" applyFill="1" applyBorder="1"/>
    <xf numFmtId="0" fontId="4" fillId="3" borderId="3" xfId="6" applyFont="1" applyFill="1" applyBorder="1"/>
    <xf numFmtId="0" fontId="2" fillId="3" borderId="11" xfId="6" applyFont="1" applyFill="1" applyBorder="1"/>
    <xf numFmtId="4" fontId="2" fillId="2" borderId="2" xfId="6" applyNumberFormat="1" applyFont="1" applyFill="1" applyBorder="1"/>
    <xf numFmtId="4" fontId="2" fillId="2" borderId="8" xfId="6" applyNumberFormat="1" applyFont="1" applyFill="1" applyBorder="1"/>
    <xf numFmtId="0" fontId="2" fillId="3" borderId="7" xfId="6" applyFont="1" applyFill="1" applyBorder="1"/>
    <xf numFmtId="4" fontId="2" fillId="3" borderId="0" xfId="6" applyNumberFormat="1" applyFont="1" applyFill="1"/>
    <xf numFmtId="4" fontId="2" fillId="2" borderId="0" xfId="6" applyNumberFormat="1" applyFont="1" applyFill="1"/>
    <xf numFmtId="4" fontId="2" fillId="2" borderId="9" xfId="6" applyNumberFormat="1" applyFont="1" applyFill="1" applyBorder="1"/>
    <xf numFmtId="171" fontId="2" fillId="3" borderId="0" xfId="2" applyNumberFormat="1" applyFont="1" applyFill="1" applyBorder="1"/>
    <xf numFmtId="171" fontId="2" fillId="2" borderId="0" xfId="2" applyNumberFormat="1" applyFont="1" applyFill="1" applyBorder="1"/>
    <xf numFmtId="171" fontId="2" fillId="2" borderId="9" xfId="2" applyNumberFormat="1" applyFont="1" applyFill="1" applyBorder="1"/>
    <xf numFmtId="0" fontId="5" fillId="3" borderId="7" xfId="6" applyFont="1" applyFill="1" applyBorder="1" applyAlignment="1">
      <alignment horizontal="center"/>
    </xf>
    <xf numFmtId="0" fontId="2" fillId="3" borderId="12" xfId="6" applyFont="1" applyFill="1" applyBorder="1" applyAlignment="1">
      <alignment horizontal="left"/>
    </xf>
    <xf numFmtId="4" fontId="2" fillId="3" borderId="4" xfId="6" applyNumberFormat="1" applyFont="1" applyFill="1" applyBorder="1"/>
    <xf numFmtId="4" fontId="2" fillId="2" borderId="4" xfId="6" applyNumberFormat="1" applyFont="1" applyFill="1" applyBorder="1"/>
    <xf numFmtId="4" fontId="2" fillId="2" borderId="10" xfId="6" applyNumberFormat="1" applyFont="1" applyFill="1" applyBorder="1"/>
    <xf numFmtId="0" fontId="4" fillId="6" borderId="5" xfId="6" applyFont="1" applyFill="1" applyBorder="1"/>
    <xf numFmtId="0" fontId="4" fillId="6" borderId="3" xfId="6" applyFont="1" applyFill="1" applyBorder="1"/>
    <xf numFmtId="0" fontId="2" fillId="6" borderId="7" xfId="6" applyFont="1" applyFill="1" applyBorder="1"/>
    <xf numFmtId="4" fontId="2" fillId="6" borderId="0" xfId="6" applyNumberFormat="1" applyFont="1" applyFill="1"/>
    <xf numFmtId="0" fontId="2" fillId="6" borderId="12" xfId="6" applyFont="1" applyFill="1" applyBorder="1"/>
    <xf numFmtId="4" fontId="2" fillId="6" borderId="4" xfId="6" applyNumberFormat="1" applyFont="1" applyFill="1" applyBorder="1"/>
    <xf numFmtId="0" fontId="4" fillId="7" borderId="5" xfId="6" applyFont="1" applyFill="1" applyBorder="1"/>
    <xf numFmtId="0" fontId="4" fillId="7" borderId="3" xfId="6" applyFont="1" applyFill="1" applyBorder="1"/>
    <xf numFmtId="0" fontId="2" fillId="7" borderId="7" xfId="6" applyFont="1" applyFill="1" applyBorder="1"/>
    <xf numFmtId="0" fontId="2" fillId="7" borderId="12" xfId="6" applyFont="1" applyFill="1" applyBorder="1"/>
    <xf numFmtId="4" fontId="2" fillId="7" borderId="4" xfId="6" applyNumberFormat="1" applyFont="1" applyFill="1" applyBorder="1"/>
    <xf numFmtId="0" fontId="4" fillId="4" borderId="3" xfId="6" applyFont="1" applyFill="1" applyBorder="1" applyAlignment="1">
      <alignment horizontal="center"/>
    </xf>
    <xf numFmtId="0" fontId="4" fillId="2" borderId="3" xfId="6" applyFont="1" applyFill="1" applyBorder="1" applyAlignment="1">
      <alignment horizontal="center"/>
    </xf>
    <xf numFmtId="0" fontId="4" fillId="2" borderId="6" xfId="6" applyFont="1" applyFill="1" applyBorder="1" applyAlignment="1">
      <alignment horizontal="center"/>
    </xf>
    <xf numFmtId="9" fontId="2" fillId="4" borderId="2" xfId="2" applyFont="1" applyFill="1" applyBorder="1" applyAlignment="1">
      <alignment horizontal="center"/>
    </xf>
    <xf numFmtId="9" fontId="2" fillId="2" borderId="2" xfId="2" applyFont="1" applyFill="1" applyBorder="1" applyAlignment="1">
      <alignment horizontal="center"/>
    </xf>
    <xf numFmtId="9" fontId="2" fillId="2" borderId="2" xfId="6" applyNumberFormat="1" applyFont="1" applyFill="1" applyBorder="1" applyAlignment="1">
      <alignment horizontal="center"/>
    </xf>
    <xf numFmtId="9" fontId="2" fillId="2" borderId="8" xfId="6" applyNumberFormat="1" applyFont="1" applyFill="1" applyBorder="1" applyAlignment="1">
      <alignment horizontal="center"/>
    </xf>
    <xf numFmtId="9" fontId="2" fillId="4" borderId="0" xfId="2" applyFont="1" applyFill="1" applyBorder="1" applyAlignment="1">
      <alignment horizontal="center"/>
    </xf>
    <xf numFmtId="9" fontId="2" fillId="2" borderId="0" xfId="2" applyFont="1" applyFill="1" applyBorder="1" applyAlignment="1">
      <alignment horizontal="center"/>
    </xf>
    <xf numFmtId="9" fontId="2" fillId="2" borderId="0" xfId="6" applyNumberFormat="1" applyFont="1" applyFill="1" applyAlignment="1">
      <alignment horizontal="center"/>
    </xf>
    <xf numFmtId="9" fontId="2" fillId="2" borderId="9" xfId="6" applyNumberFormat="1" applyFont="1" applyFill="1" applyBorder="1" applyAlignment="1">
      <alignment horizontal="center"/>
    </xf>
    <xf numFmtId="9" fontId="2" fillId="4" borderId="4" xfId="2" applyFont="1" applyFill="1" applyBorder="1" applyAlignment="1">
      <alignment horizontal="center"/>
    </xf>
    <xf numFmtId="9" fontId="2" fillId="2" borderId="4" xfId="2" applyFont="1" applyFill="1" applyBorder="1" applyAlignment="1">
      <alignment horizontal="center"/>
    </xf>
    <xf numFmtId="9" fontId="2" fillId="2" borderId="4" xfId="6" applyNumberFormat="1" applyFont="1" applyFill="1" applyBorder="1" applyAlignment="1">
      <alignment horizontal="center"/>
    </xf>
    <xf numFmtId="9" fontId="2" fillId="2" borderId="10" xfId="6" applyNumberFormat="1" applyFont="1" applyFill="1" applyBorder="1" applyAlignment="1">
      <alignment horizontal="center"/>
    </xf>
    <xf numFmtId="3" fontId="2" fillId="3" borderId="2" xfId="6" applyNumberFormat="1" applyFont="1" applyFill="1" applyBorder="1"/>
    <xf numFmtId="3" fontId="2" fillId="2" borderId="2" xfId="6" applyNumberFormat="1" applyFont="1" applyFill="1" applyBorder="1"/>
    <xf numFmtId="3" fontId="2" fillId="2" borderId="8" xfId="6" applyNumberFormat="1" applyFont="1" applyFill="1" applyBorder="1"/>
    <xf numFmtId="3" fontId="2" fillId="3" borderId="0" xfId="6" applyNumberFormat="1" applyFont="1" applyFill="1"/>
    <xf numFmtId="3" fontId="2" fillId="2" borderId="0" xfId="6" applyNumberFormat="1" applyFont="1" applyFill="1"/>
    <xf numFmtId="3" fontId="2" fillId="2" borderId="9" xfId="6" applyNumberFormat="1" applyFont="1" applyFill="1" applyBorder="1"/>
    <xf numFmtId="0" fontId="2" fillId="13" borderId="0" xfId="6" applyFont="1" applyFill="1" applyAlignment="1">
      <alignment horizontal="left" vertical="center"/>
    </xf>
    <xf numFmtId="0" fontId="4" fillId="13" borderId="0" xfId="6" applyFont="1" applyFill="1" applyAlignment="1">
      <alignment horizontal="left"/>
    </xf>
    <xf numFmtId="0" fontId="2" fillId="13" borderId="0" xfId="6" applyFont="1" applyFill="1" applyAlignment="1">
      <alignment horizontal="left" vertical="top"/>
    </xf>
    <xf numFmtId="0" fontId="2" fillId="13" borderId="0" xfId="6" applyFont="1" applyFill="1" applyAlignment="1">
      <alignment horizontal="left" vertical="center" wrapText="1"/>
    </xf>
    <xf numFmtId="0" fontId="2" fillId="13" borderId="0" xfId="6" applyFont="1" applyFill="1" applyAlignment="1">
      <alignment horizontal="left"/>
    </xf>
    <xf numFmtId="3" fontId="2" fillId="7" borderId="0" xfId="6" applyNumberFormat="1" applyFont="1" applyFill="1"/>
    <xf numFmtId="171" fontId="32" fillId="2" borderId="0" xfId="6" applyNumberFormat="1" applyFont="1" applyFill="1" applyAlignment="1">
      <alignment vertical="center"/>
    </xf>
    <xf numFmtId="164" fontId="32" fillId="2" borderId="0" xfId="6" applyNumberFormat="1" applyFont="1" applyFill="1" applyAlignment="1">
      <alignment horizontal="center" vertical="center"/>
    </xf>
    <xf numFmtId="4" fontId="32" fillId="0" borderId="0" xfId="6" applyNumberFormat="1" applyFont="1" applyAlignment="1">
      <alignment vertical="center"/>
    </xf>
    <xf numFmtId="0" fontId="4" fillId="0" borderId="0" xfId="6" applyFont="1" applyAlignment="1">
      <alignment horizontal="center"/>
    </xf>
    <xf numFmtId="173" fontId="2" fillId="2" borderId="0" xfId="0" applyNumberFormat="1" applyFont="1"/>
    <xf numFmtId="167" fontId="2" fillId="2" borderId="0" xfId="0" applyNumberFormat="1" applyFont="1" applyAlignment="1">
      <alignment horizontal="right"/>
    </xf>
    <xf numFmtId="2" fontId="2" fillId="2" borderId="0" xfId="0" applyNumberFormat="1" applyFont="1"/>
    <xf numFmtId="0" fontId="4" fillId="2" borderId="1" xfId="6" applyFont="1" applyFill="1" applyBorder="1" applyProtection="1">
      <protection locked="0"/>
    </xf>
    <xf numFmtId="0" fontId="2" fillId="2" borderId="0" xfId="0" applyFont="1" applyAlignment="1">
      <alignment horizontal="left" vertical="center" wrapText="1"/>
    </xf>
    <xf numFmtId="0" fontId="25" fillId="2" borderId="0" xfId="0" applyFont="1" applyAlignment="1">
      <alignment horizontal="left" vertical="center" wrapText="1"/>
    </xf>
    <xf numFmtId="0" fontId="5" fillId="2" borderId="0" xfId="0" applyFont="1" applyAlignment="1">
      <alignment horizontal="left" vertical="center" wrapText="1"/>
    </xf>
    <xf numFmtId="0" fontId="4" fillId="2" borderId="0" xfId="6" applyFont="1" applyFill="1" applyAlignment="1">
      <alignment horizontal="center"/>
    </xf>
    <xf numFmtId="0" fontId="10" fillId="2" borderId="0" xfId="6" applyFont="1" applyFill="1" applyAlignment="1">
      <alignment horizontal="center" vertical="top" wrapText="1"/>
    </xf>
    <xf numFmtId="4" fontId="32" fillId="0" borderId="0" xfId="6" applyNumberFormat="1" applyFont="1" applyAlignment="1">
      <alignment horizontal="center" vertical="center"/>
    </xf>
    <xf numFmtId="0" fontId="2" fillId="0" borderId="0" xfId="6" applyFont="1" applyAlignment="1">
      <alignment horizontal="center" vertical="top" wrapText="1"/>
    </xf>
    <xf numFmtId="0" fontId="4" fillId="0" borderId="0" xfId="6" applyFont="1" applyAlignment="1">
      <alignment horizontal="center"/>
    </xf>
    <xf numFmtId="0" fontId="6" fillId="13" borderId="0" xfId="6" applyFont="1" applyFill="1" applyAlignment="1">
      <alignment horizontal="left"/>
    </xf>
    <xf numFmtId="0" fontId="34" fillId="12" borderId="15" xfId="6" applyFont="1" applyFill="1" applyBorder="1" applyAlignment="1">
      <alignment horizontal="left"/>
    </xf>
    <xf numFmtId="0" fontId="34" fillId="12" borderId="16" xfId="6" applyFont="1" applyFill="1" applyBorder="1" applyAlignment="1">
      <alignment horizontal="left"/>
    </xf>
    <xf numFmtId="0" fontId="2" fillId="13" borderId="0" xfId="6" applyFont="1" applyFill="1" applyAlignment="1">
      <alignment horizontal="left"/>
    </xf>
    <xf numFmtId="168" fontId="2" fillId="13" borderId="0" xfId="6" applyNumberFormat="1" applyFont="1" applyFill="1" applyAlignment="1">
      <alignment horizontal="left"/>
    </xf>
    <xf numFmtId="171" fontId="32" fillId="2" borderId="0" xfId="6" applyNumberFormat="1" applyFont="1" applyFill="1" applyAlignment="1">
      <alignment horizontal="center" vertical="center"/>
    </xf>
    <xf numFmtId="169" fontId="2" fillId="13" borderId="0" xfId="6" applyNumberFormat="1" applyFont="1" applyFill="1" applyAlignment="1">
      <alignment horizontal="left"/>
    </xf>
    <xf numFmtId="0" fontId="2" fillId="13" borderId="0" xfId="6" applyFont="1" applyFill="1" applyAlignment="1">
      <alignment horizontal="left" vertical="top" wrapText="1"/>
    </xf>
    <xf numFmtId="0" fontId="2" fillId="13" borderId="0" xfId="6" applyFont="1" applyFill="1" applyAlignment="1">
      <alignment horizontal="left" vertical="center" wrapText="1"/>
    </xf>
    <xf numFmtId="164" fontId="32" fillId="2" borderId="0" xfId="6" applyNumberFormat="1" applyFont="1" applyFill="1" applyAlignment="1">
      <alignment horizontal="center" vertical="center"/>
    </xf>
    <xf numFmtId="3" fontId="2" fillId="2" borderId="5" xfId="0" applyNumberFormat="1" applyFont="1" applyBorder="1" applyAlignment="1">
      <alignment horizontal="left" vertical="center" wrapText="1"/>
    </xf>
    <xf numFmtId="3" fontId="2" fillId="2" borderId="3" xfId="0" applyNumberFormat="1" applyFont="1" applyBorder="1" applyAlignment="1">
      <alignment horizontal="left" vertical="center" wrapText="1"/>
    </xf>
    <xf numFmtId="3" fontId="2" fillId="2" borderId="6" xfId="0" applyNumberFormat="1" applyFont="1" applyBorder="1" applyAlignment="1">
      <alignment horizontal="left" vertical="center" wrapText="1"/>
    </xf>
    <xf numFmtId="0" fontId="2" fillId="2" borderId="5" xfId="0" applyFont="1" applyBorder="1" applyAlignment="1">
      <alignment horizontal="left" vertical="center" wrapText="1"/>
    </xf>
    <xf numFmtId="0" fontId="2" fillId="2" borderId="3" xfId="0" applyFont="1" applyBorder="1" applyAlignment="1">
      <alignment horizontal="left" vertical="center" wrapText="1"/>
    </xf>
    <xf numFmtId="0" fontId="2" fillId="2" borderId="6" xfId="0" applyFont="1" applyBorder="1" applyAlignment="1">
      <alignment horizontal="left" vertical="center" wrapText="1"/>
    </xf>
    <xf numFmtId="0" fontId="6" fillId="2" borderId="4" xfId="0" applyFont="1" applyBorder="1" applyAlignment="1">
      <alignment horizontal="center" vertical="center"/>
    </xf>
    <xf numFmtId="0" fontId="2" fillId="2" borderId="1" xfId="0" applyFont="1" applyBorder="1" applyAlignment="1">
      <alignment horizontal="left" vertical="center" wrapText="1"/>
    </xf>
    <xf numFmtId="0" fontId="12" fillId="2" borderId="7" xfId="0" applyFont="1" applyBorder="1" applyAlignment="1">
      <alignment horizontal="left" wrapText="1"/>
    </xf>
    <xf numFmtId="0" fontId="12" fillId="2" borderId="0" xfId="0" applyFont="1" applyAlignment="1">
      <alignment horizontal="left" wrapText="1"/>
    </xf>
    <xf numFmtId="0" fontId="34" fillId="12" borderId="15" xfId="0" applyFont="1" applyFill="1" applyBorder="1" applyAlignment="1">
      <alignment horizontal="left"/>
    </xf>
    <xf numFmtId="0" fontId="34" fillId="12" borderId="16" xfId="0" applyFont="1" applyFill="1" applyBorder="1" applyAlignment="1">
      <alignment horizontal="left"/>
    </xf>
    <xf numFmtId="0" fontId="2" fillId="13" borderId="5"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4" fillId="3" borderId="2"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3" borderId="9" xfId="0" applyFont="1" applyFill="1" applyBorder="1" applyAlignment="1" applyProtection="1">
      <alignment horizontal="center"/>
      <protection locked="0"/>
    </xf>
  </cellXfs>
  <cellStyles count="7">
    <cellStyle name="Calculated value" xfId="4" xr:uid="{8C928CD0-5D3B-48AD-AED7-F4B850238E00}"/>
    <cellStyle name="Currency" xfId="5" builtinId="4"/>
    <cellStyle name="Environmental" xfId="1" xr:uid="{CE5C4E68-4001-4627-B22E-0251277564C7}"/>
    <cellStyle name="Fixed value" xfId="3" xr:uid="{BB6D410D-9A63-462D-AECF-008D0AB3B74E}"/>
    <cellStyle name="Normal" xfId="0" builtinId="0" customBuiltin="1"/>
    <cellStyle name="Normal 2" xfId="6" xr:uid="{B8001BAB-3743-4B41-A8F7-2CBD8BF9D6D5}"/>
    <cellStyle name="Percent" xfId="2" builtinId="5"/>
  </cellStyles>
  <dxfs count="6">
    <dxf>
      <fill>
        <patternFill>
          <bgColor theme="9"/>
        </patternFill>
      </fill>
    </dxf>
    <dxf>
      <fill>
        <patternFill>
          <bgColor theme="5"/>
        </patternFill>
      </fill>
    </dxf>
    <dxf>
      <fill>
        <patternFill>
          <bgColor rgb="FFFF0000"/>
        </patternFill>
      </fill>
    </dxf>
    <dxf>
      <fill>
        <patternFill>
          <bgColor theme="9"/>
        </patternFill>
      </fill>
    </dxf>
    <dxf>
      <fill>
        <patternFill>
          <bgColor theme="5"/>
        </patternFill>
      </fill>
    </dxf>
    <dxf>
      <fill>
        <patternFill>
          <bgColor rgb="FFFF0000"/>
        </patternFill>
      </fill>
    </dxf>
  </dxfs>
  <tableStyles count="0" defaultTableStyle="TableStyleMedium2" defaultPivotStyle="PivotStyleLight16"/>
  <colors>
    <mruColors>
      <color rgb="FFDADEB8"/>
      <color rgb="FFFDD9CF"/>
      <color rgb="FFC4DEB4"/>
      <color rgb="FFFF8989"/>
      <color rgb="FFFF8B8B"/>
      <color rgb="FFFCC2B2"/>
      <color rgb="FFD6DAAE"/>
      <color rgb="FFCFD4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100" b="1">
                <a:solidFill>
                  <a:schemeClr val="tx1"/>
                </a:solidFill>
                <a:latin typeface="Verdana" panose="020B0604030504040204" pitchFamily="34" charset="0"/>
                <a:ea typeface="Verdana" panose="020B0604030504040204" pitchFamily="34" charset="0"/>
              </a:rPr>
              <a:t>Levelized cost of product, CAPEX, OPEX</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BE"/>
        </a:p>
      </c:txPr>
    </c:title>
    <c:autoTitleDeleted val="0"/>
    <c:plotArea>
      <c:layout/>
      <c:barChart>
        <c:barDir val="col"/>
        <c:grouping val="clustered"/>
        <c:varyColors val="0"/>
        <c:ser>
          <c:idx val="0"/>
          <c:order val="0"/>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Levelized cost of product</c:v>
              </c:pt>
              <c:pt idx="1">
                <c:v>CAPEX</c:v>
              </c:pt>
              <c:pt idx="2">
                <c:v> OPEX</c:v>
              </c:pt>
            </c:strLit>
          </c:cat>
          <c:val>
            <c:numRef>
              <c:f>'Dashboard results'!$F$71:$F$73</c:f>
              <c:numCache>
                <c:formatCode>#,##0.00</c:formatCode>
                <c:ptCount val="3"/>
                <c:pt idx="0">
                  <c:v>0</c:v>
                </c:pt>
                <c:pt idx="1">
                  <c:v>0</c:v>
                </c:pt>
                <c:pt idx="2">
                  <c:v>0</c:v>
                </c:pt>
              </c:numCache>
            </c:numRef>
          </c:val>
          <c:extLst>
            <c:ext xmlns:c16="http://schemas.microsoft.com/office/drawing/2014/chart" uri="{C3380CC4-5D6E-409C-BE32-E72D297353CC}">
              <c16:uniqueId val="{00000000-1752-4195-A4F9-6BDBAF2123D9}"/>
            </c:ext>
          </c:extLst>
        </c:ser>
        <c:dLbls>
          <c:dLblPos val="outEnd"/>
          <c:showLegendKey val="0"/>
          <c:showVal val="1"/>
          <c:showCatName val="0"/>
          <c:showSerName val="0"/>
          <c:showPercent val="0"/>
          <c:showBubbleSize val="0"/>
        </c:dLbls>
        <c:gapWidth val="219"/>
        <c:overlap val="-27"/>
        <c:axId val="1461298272"/>
        <c:axId val="1461313664"/>
      </c:barChart>
      <c:catAx>
        <c:axId val="146129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BE"/>
          </a:p>
        </c:txPr>
        <c:crossAx val="1461313664"/>
        <c:crosses val="autoZero"/>
        <c:auto val="1"/>
        <c:lblAlgn val="ctr"/>
        <c:lblOffset val="100"/>
        <c:noMultiLvlLbl val="0"/>
      </c:catAx>
      <c:valAx>
        <c:axId val="1461313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latin typeface="Verdana" panose="020B0604030504040204" pitchFamily="34" charset="0"/>
                    <a:ea typeface="Verdana" panose="020B0604030504040204" pitchFamily="34" charset="0"/>
                  </a:rPr>
                  <a:t>€/ton product</a:t>
                </a:r>
              </a:p>
            </c:rich>
          </c:tx>
          <c:layout>
            <c:manualLayout>
              <c:xMode val="edge"/>
              <c:yMode val="edge"/>
              <c:x val="1.1819018258366841E-2"/>
              <c:y val="0.366373194406904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B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BE"/>
          </a:p>
        </c:txPr>
        <c:crossAx val="146129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1. Pathway 1'!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chart" Target="../charts/chart1.xml"/><Relationship Id="rId2" Type="http://schemas.openxmlformats.org/officeDocument/2006/relationships/image" Target="../media/image2.png"/><Relationship Id="rId16" Type="http://schemas.openxmlformats.org/officeDocument/2006/relationships/hyperlink" Target="#'4. Pathway 4'!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3. Pathway 3'!A1"/><Relationship Id="rId10" Type="http://schemas.openxmlformats.org/officeDocument/2006/relationships/hyperlink" Target="#'Data - technical'!A1"/><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hyperlink" Target="#'2. Pathway 2'!A1"/></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3.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5.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0.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4. Pathway 4'!A1"/><Relationship Id="rId2" Type="http://schemas.openxmlformats.org/officeDocument/2006/relationships/image" Target="../media/image2.png"/><Relationship Id="rId16" Type="http://schemas.openxmlformats.org/officeDocument/2006/relationships/hyperlink" Target="#'3. Pathway 3'!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2. Pathway 2'!A1"/><Relationship Id="rId10" Type="http://schemas.openxmlformats.org/officeDocument/2006/relationships/hyperlink" Target="#'Data - technical'!A1"/><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hyperlink" Target="#'1. Pathway 1'!A1"/></Relationships>
</file>

<file path=xl/drawings/_rels/drawing7.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3.png"/><Relationship Id="rId21" Type="http://schemas.openxmlformats.org/officeDocument/2006/relationships/hyperlink" Target="#'3. Pathway 3'!A1"/><Relationship Id="rId7" Type="http://schemas.openxmlformats.org/officeDocument/2006/relationships/image" Target="../media/image7.png"/><Relationship Id="rId12" Type="http://schemas.openxmlformats.org/officeDocument/2006/relationships/image" Target="../media/image14.png"/><Relationship Id="rId17" Type="http://schemas.openxmlformats.org/officeDocument/2006/relationships/image" Target="../media/image21.png"/><Relationship Id="rId2" Type="http://schemas.openxmlformats.org/officeDocument/2006/relationships/image" Target="../media/image2.png"/><Relationship Id="rId16" Type="http://schemas.openxmlformats.org/officeDocument/2006/relationships/image" Target="../media/image20.png"/><Relationship Id="rId20" Type="http://schemas.openxmlformats.org/officeDocument/2006/relationships/hyperlink" Target="#'2. Pathway 2'!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1. Pathway 1'!A1"/><Relationship Id="rId5" Type="http://schemas.openxmlformats.org/officeDocument/2006/relationships/image" Target="../media/image5.png"/><Relationship Id="rId15" Type="http://schemas.openxmlformats.org/officeDocument/2006/relationships/image" Target="../media/image19.png"/><Relationship Id="rId10" Type="http://schemas.openxmlformats.org/officeDocument/2006/relationships/image" Target="../media/image10.png"/><Relationship Id="rId19" Type="http://schemas.openxmlformats.org/officeDocument/2006/relationships/image" Target="../media/image23.png"/><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8.png"/><Relationship Id="rId22" Type="http://schemas.openxmlformats.org/officeDocument/2006/relationships/hyperlink" Target="#'4. Pathway 4'!A1"/></Relationships>
</file>

<file path=xl/drawings/_rels/drawing8.xml.rels><?xml version="1.0" encoding="UTF-8" standalone="yes"?>
<Relationships xmlns="http://schemas.openxmlformats.org/package/2006/relationships"><Relationship Id="rId8" Type="http://schemas.openxmlformats.org/officeDocument/2006/relationships/image" Target="../media/image16.png"/><Relationship Id="rId13" Type="http://schemas.microsoft.com/office/2007/relationships/hdphoto" Target="../media/hdphoto1.wdp"/><Relationship Id="rId18" Type="http://schemas.openxmlformats.org/officeDocument/2006/relationships/image" Target="../media/image20.png"/><Relationship Id="rId3" Type="http://schemas.openxmlformats.org/officeDocument/2006/relationships/image" Target="../media/image3.png"/><Relationship Id="rId21" Type="http://schemas.openxmlformats.org/officeDocument/2006/relationships/hyperlink" Target="#'2. Pathway 2'!A1"/><Relationship Id="rId7" Type="http://schemas.openxmlformats.org/officeDocument/2006/relationships/image" Target="../media/image7.png"/><Relationship Id="rId12" Type="http://schemas.openxmlformats.org/officeDocument/2006/relationships/image" Target="../media/image17.png"/><Relationship Id="rId17" Type="http://schemas.openxmlformats.org/officeDocument/2006/relationships/image" Target="../media/image19.png"/><Relationship Id="rId2" Type="http://schemas.openxmlformats.org/officeDocument/2006/relationships/image" Target="../media/image2.png"/><Relationship Id="rId16" Type="http://schemas.openxmlformats.org/officeDocument/2006/relationships/image" Target="../media/image23.png"/><Relationship Id="rId20" Type="http://schemas.openxmlformats.org/officeDocument/2006/relationships/hyperlink" Target="#'1. Pathway 1'!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22.png"/><Relationship Id="rId23" Type="http://schemas.openxmlformats.org/officeDocument/2006/relationships/hyperlink" Target="#'4. Pathway 4'!A1"/><Relationship Id="rId10" Type="http://schemas.openxmlformats.org/officeDocument/2006/relationships/image" Target="../media/image10.png"/><Relationship Id="rId19" Type="http://schemas.openxmlformats.org/officeDocument/2006/relationships/image" Target="../media/image21.png"/><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8.png"/><Relationship Id="rId22" Type="http://schemas.openxmlformats.org/officeDocument/2006/relationships/hyperlink" Target="#'3. Pathway 3'!A1"/></Relationships>
</file>

<file path=xl/drawings/_rels/drawing9.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2. Pathway 2'!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1. Pathway 1'!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4. Pathway 4'!A1"/><Relationship Id="rId10" Type="http://schemas.openxmlformats.org/officeDocument/2006/relationships/image" Target="../media/image9.JP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hyperlink" Target="#'3. Pathway 3'!A1"/></Relationships>
</file>

<file path=xl/drawings/_rels/drawing10.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3. Pathway 3'!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2. Pathway 2'!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1. Pathway 1'!A1"/><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hyperlink" Target="#'4. Pathway 4'!A1"/></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97155</xdr:rowOff>
    </xdr:from>
    <xdr:to>
      <xdr:col>14</xdr:col>
      <xdr:colOff>374650</xdr:colOff>
      <xdr:row>0</xdr:row>
      <xdr:rowOff>1771227</xdr:rowOff>
    </xdr:to>
    <xdr:grpSp>
      <xdr:nvGrpSpPr>
        <xdr:cNvPr id="32" name="Group 31">
          <a:extLst>
            <a:ext uri="{FF2B5EF4-FFF2-40B4-BE49-F238E27FC236}">
              <a16:creationId xmlns:a16="http://schemas.microsoft.com/office/drawing/2014/main" id="{BCF2E526-6356-4C36-B885-E296B4BFA141}"/>
            </a:ext>
          </a:extLst>
        </xdr:cNvPr>
        <xdr:cNvGrpSpPr/>
      </xdr:nvGrpSpPr>
      <xdr:grpSpPr>
        <a:xfrm>
          <a:off x="240030" y="93345"/>
          <a:ext cx="16449040" cy="1681692"/>
          <a:chOff x="171450" y="91441"/>
          <a:chExt cx="16462375" cy="1683597"/>
        </a:xfrm>
      </xdr:grpSpPr>
      <xdr:pic>
        <xdr:nvPicPr>
          <xdr:cNvPr id="36" name="Picture 35">
            <a:extLst>
              <a:ext uri="{FF2B5EF4-FFF2-40B4-BE49-F238E27FC236}">
                <a16:creationId xmlns:a16="http://schemas.microsoft.com/office/drawing/2014/main" id="{97840980-C586-492D-93CE-CEF8FBBC6F5A}"/>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37" name="Group 36">
            <a:extLst>
              <a:ext uri="{FF2B5EF4-FFF2-40B4-BE49-F238E27FC236}">
                <a16:creationId xmlns:a16="http://schemas.microsoft.com/office/drawing/2014/main" id="{850C37AA-327F-4201-B203-C078BDD5A1D9}"/>
              </a:ext>
            </a:extLst>
          </xdr:cNvPr>
          <xdr:cNvGrpSpPr/>
        </xdr:nvGrpSpPr>
        <xdr:grpSpPr>
          <a:xfrm>
            <a:off x="167640" y="95251"/>
            <a:ext cx="16462375" cy="1675977"/>
            <a:chOff x="167640" y="95251"/>
            <a:chExt cx="16462375" cy="1675977"/>
          </a:xfrm>
        </xdr:grpSpPr>
        <xdr:grpSp>
          <xdr:nvGrpSpPr>
            <xdr:cNvPr id="38" name="Group 37">
              <a:extLst>
                <a:ext uri="{FF2B5EF4-FFF2-40B4-BE49-F238E27FC236}">
                  <a16:creationId xmlns:a16="http://schemas.microsoft.com/office/drawing/2014/main" id="{066E611A-E519-4E60-A304-E26ED16B6635}"/>
                </a:ext>
              </a:extLst>
            </xdr:cNvPr>
            <xdr:cNvGrpSpPr/>
          </xdr:nvGrpSpPr>
          <xdr:grpSpPr>
            <a:xfrm>
              <a:off x="171450" y="91441"/>
              <a:ext cx="16462375" cy="1683597"/>
              <a:chOff x="171449" y="38100"/>
              <a:chExt cx="16659225" cy="1704975"/>
            </a:xfrm>
          </xdr:grpSpPr>
          <xdr:grpSp>
            <xdr:nvGrpSpPr>
              <xdr:cNvPr id="40" name="Group 39">
                <a:extLst>
                  <a:ext uri="{FF2B5EF4-FFF2-40B4-BE49-F238E27FC236}">
                    <a16:creationId xmlns:a16="http://schemas.microsoft.com/office/drawing/2014/main" id="{E5A92757-92C5-4D11-B0C9-D79A72486DB0}"/>
                  </a:ext>
                </a:extLst>
              </xdr:cNvPr>
              <xdr:cNvGrpSpPr/>
            </xdr:nvGrpSpPr>
            <xdr:grpSpPr>
              <a:xfrm>
                <a:off x="171449" y="38100"/>
                <a:ext cx="16659225" cy="1704975"/>
                <a:chOff x="171449" y="38100"/>
                <a:chExt cx="16659225" cy="1704975"/>
              </a:xfrm>
            </xdr:grpSpPr>
            <xdr:pic>
              <xdr:nvPicPr>
                <xdr:cNvPr id="43" name="Picture 42" descr="catalisti.be">
                  <a:extLst>
                    <a:ext uri="{FF2B5EF4-FFF2-40B4-BE49-F238E27FC236}">
                      <a16:creationId xmlns:a16="http://schemas.microsoft.com/office/drawing/2014/main" id="{EBB83624-B9EB-4DA7-9EDF-34A5D26554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4" name="Rectangle 43">
                  <a:extLst>
                    <a:ext uri="{FF2B5EF4-FFF2-40B4-BE49-F238E27FC236}">
                      <a16:creationId xmlns:a16="http://schemas.microsoft.com/office/drawing/2014/main" id="{EF25327A-E9F3-4541-9C94-517342DFA17D}"/>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45" name="Rectangle: Rounded Corners 44">
                  <a:extLst>
                    <a:ext uri="{FF2B5EF4-FFF2-40B4-BE49-F238E27FC236}">
                      <a16:creationId xmlns:a16="http://schemas.microsoft.com/office/drawing/2014/main" id="{0D979546-3A87-44E1-BC70-CC17EE62FACC}"/>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46" name="Picture 45">
                  <a:extLst>
                    <a:ext uri="{FF2B5EF4-FFF2-40B4-BE49-F238E27FC236}">
                      <a16:creationId xmlns:a16="http://schemas.microsoft.com/office/drawing/2014/main" id="{64D607C7-1063-4A35-9AC7-E05B0C67573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47" name="Picture 46">
                  <a:extLst>
                    <a:ext uri="{FF2B5EF4-FFF2-40B4-BE49-F238E27FC236}">
                      <a16:creationId xmlns:a16="http://schemas.microsoft.com/office/drawing/2014/main" id="{216F3E10-938B-4BE9-B257-CD461772E67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48" name="Picture 47">
                  <a:extLst>
                    <a:ext uri="{FF2B5EF4-FFF2-40B4-BE49-F238E27FC236}">
                      <a16:creationId xmlns:a16="http://schemas.microsoft.com/office/drawing/2014/main" id="{4F1EF607-3782-4487-A034-371215CBC7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49" name="Picture 48">
                  <a:extLst>
                    <a:ext uri="{FF2B5EF4-FFF2-40B4-BE49-F238E27FC236}">
                      <a16:creationId xmlns:a16="http://schemas.microsoft.com/office/drawing/2014/main" id="{E380C33B-B27D-4DEC-BD5B-E3F8CEB45314}"/>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1" name="Picture 40">
                <a:extLst>
                  <a:ext uri="{FF2B5EF4-FFF2-40B4-BE49-F238E27FC236}">
                    <a16:creationId xmlns:a16="http://schemas.microsoft.com/office/drawing/2014/main" id="{A0FB2119-E1AA-4796-8785-5CFA65848A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42" name="TextBox 41">
                <a:extLst>
                  <a:ext uri="{FF2B5EF4-FFF2-40B4-BE49-F238E27FC236}">
                    <a16:creationId xmlns:a16="http://schemas.microsoft.com/office/drawing/2014/main" id="{7CC225B8-1F95-4AB2-AAB7-F2FB78BEEB2E}"/>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39" name="Picture 38">
              <a:extLst>
                <a:ext uri="{FF2B5EF4-FFF2-40B4-BE49-F238E27FC236}">
                  <a16:creationId xmlns:a16="http://schemas.microsoft.com/office/drawing/2014/main" id="{F15C6181-7293-455E-A207-CE03760EC2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1007745</xdr:colOff>
      <xdr:row>4</xdr:row>
      <xdr:rowOff>228600</xdr:rowOff>
    </xdr:from>
    <xdr:to>
      <xdr:col>0</xdr:col>
      <xdr:colOff>1617345</xdr:colOff>
      <xdr:row>7</xdr:row>
      <xdr:rowOff>243840</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1011555" y="2486025"/>
          <a:ext cx="609600" cy="657225"/>
          <a:chOff x="13464540" y="68580"/>
          <a:chExt cx="609600" cy="662940"/>
        </a:xfrm>
      </xdr:grpSpPr>
      <xdr:pic macro="[0]!Next_worksheet">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7" name="TextBox 16">
            <a:extLst>
              <a:ext uri="{FF2B5EF4-FFF2-40B4-BE49-F238E27FC236}">
                <a16:creationId xmlns:a16="http://schemas.microsoft.com/office/drawing/2014/main" id="{00000000-0008-0000-0000-000011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1</xdr:col>
      <xdr:colOff>1504950</xdr:colOff>
      <xdr:row>3</xdr:row>
      <xdr:rowOff>133350</xdr:rowOff>
    </xdr:from>
    <xdr:to>
      <xdr:col>1</xdr:col>
      <xdr:colOff>1712232</xdr:colOff>
      <xdr:row>4</xdr:row>
      <xdr:rowOff>191660</xdr:rowOff>
    </xdr:to>
    <xdr:pic macro="[0]!Introduction">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a:stretch>
          <a:fillRect/>
        </a:stretch>
      </xdr:blipFill>
      <xdr:spPr>
        <a:xfrm>
          <a:off x="3552825" y="2247900"/>
          <a:ext cx="207282" cy="201185"/>
        </a:xfrm>
        <a:prstGeom prst="rect">
          <a:avLst/>
        </a:prstGeom>
      </xdr:spPr>
    </xdr:pic>
    <xdr:clientData/>
  </xdr:twoCellAnchor>
  <xdr:twoCellAnchor editAs="oneCell">
    <xdr:from>
      <xdr:col>0</xdr:col>
      <xdr:colOff>514350</xdr:colOff>
      <xdr:row>50</xdr:row>
      <xdr:rowOff>123825</xdr:rowOff>
    </xdr:from>
    <xdr:to>
      <xdr:col>0</xdr:col>
      <xdr:colOff>1428750</xdr:colOff>
      <xdr:row>51</xdr:row>
      <xdr:rowOff>706755</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510540" y="15575280"/>
          <a:ext cx="914400" cy="720090"/>
          <a:chOff x="12771120" y="8145780"/>
          <a:chExt cx="906780" cy="739140"/>
        </a:xfrm>
      </xdr:grpSpPr>
      <xdr:pic macro="[0]!Top_of_page">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1" name="TextBox 20">
            <a:extLst>
              <a:ext uri="{FF2B5EF4-FFF2-40B4-BE49-F238E27FC236}">
                <a16:creationId xmlns:a16="http://schemas.microsoft.com/office/drawing/2014/main" id="{00000000-0008-0000-0000-000015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259715</xdr:colOff>
      <xdr:row>0</xdr:row>
      <xdr:rowOff>30693</xdr:rowOff>
    </xdr:from>
    <xdr:to>
      <xdr:col>10</xdr:col>
      <xdr:colOff>1892935</xdr:colOff>
      <xdr:row>0</xdr:row>
      <xdr:rowOff>1687620</xdr:rowOff>
    </xdr:to>
    <xdr:grpSp>
      <xdr:nvGrpSpPr>
        <xdr:cNvPr id="47" name="Group 46">
          <a:extLst>
            <a:ext uri="{FF2B5EF4-FFF2-40B4-BE49-F238E27FC236}">
              <a16:creationId xmlns:a16="http://schemas.microsoft.com/office/drawing/2014/main" id="{84AF8B06-C28F-4183-BE97-2701D57F9B92}"/>
            </a:ext>
          </a:extLst>
        </xdr:cNvPr>
        <xdr:cNvGrpSpPr/>
      </xdr:nvGrpSpPr>
      <xdr:grpSpPr>
        <a:xfrm>
          <a:off x="257810" y="28788"/>
          <a:ext cx="16452215" cy="1660737"/>
          <a:chOff x="171450" y="91441"/>
          <a:chExt cx="16462375" cy="1683597"/>
        </a:xfrm>
      </xdr:grpSpPr>
      <xdr:pic>
        <xdr:nvPicPr>
          <xdr:cNvPr id="48" name="Picture 47">
            <a:extLst>
              <a:ext uri="{FF2B5EF4-FFF2-40B4-BE49-F238E27FC236}">
                <a16:creationId xmlns:a16="http://schemas.microsoft.com/office/drawing/2014/main" id="{65B31699-A2E5-4996-9617-01881115D621}"/>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49" name="Group 48">
            <a:extLst>
              <a:ext uri="{FF2B5EF4-FFF2-40B4-BE49-F238E27FC236}">
                <a16:creationId xmlns:a16="http://schemas.microsoft.com/office/drawing/2014/main" id="{694D1A0D-603E-4532-B6CE-EBB06E35FEE5}"/>
              </a:ext>
            </a:extLst>
          </xdr:cNvPr>
          <xdr:cNvGrpSpPr/>
        </xdr:nvGrpSpPr>
        <xdr:grpSpPr>
          <a:xfrm>
            <a:off x="167640" y="95251"/>
            <a:ext cx="16462375" cy="1675977"/>
            <a:chOff x="167640" y="95251"/>
            <a:chExt cx="16462375" cy="1675977"/>
          </a:xfrm>
        </xdr:grpSpPr>
        <xdr:grpSp>
          <xdr:nvGrpSpPr>
            <xdr:cNvPr id="50" name="Group 49">
              <a:extLst>
                <a:ext uri="{FF2B5EF4-FFF2-40B4-BE49-F238E27FC236}">
                  <a16:creationId xmlns:a16="http://schemas.microsoft.com/office/drawing/2014/main" id="{72ACB5EB-4175-430D-B60B-96DC575A3684}"/>
                </a:ext>
              </a:extLst>
            </xdr:cNvPr>
            <xdr:cNvGrpSpPr/>
          </xdr:nvGrpSpPr>
          <xdr:grpSpPr>
            <a:xfrm>
              <a:off x="171450" y="91441"/>
              <a:ext cx="16462375" cy="1683597"/>
              <a:chOff x="171449" y="38100"/>
              <a:chExt cx="16659225" cy="1704975"/>
            </a:xfrm>
          </xdr:grpSpPr>
          <xdr:grpSp>
            <xdr:nvGrpSpPr>
              <xdr:cNvPr id="52" name="Group 51">
                <a:extLst>
                  <a:ext uri="{FF2B5EF4-FFF2-40B4-BE49-F238E27FC236}">
                    <a16:creationId xmlns:a16="http://schemas.microsoft.com/office/drawing/2014/main" id="{54272A3D-662E-448F-B298-A5BBD62EB356}"/>
                  </a:ext>
                </a:extLst>
              </xdr:cNvPr>
              <xdr:cNvGrpSpPr/>
            </xdr:nvGrpSpPr>
            <xdr:grpSpPr>
              <a:xfrm>
                <a:off x="171449" y="38100"/>
                <a:ext cx="16659225" cy="1704975"/>
                <a:chOff x="171449" y="38100"/>
                <a:chExt cx="16659225" cy="1704975"/>
              </a:xfrm>
            </xdr:grpSpPr>
            <xdr:pic>
              <xdr:nvPicPr>
                <xdr:cNvPr id="55" name="Picture 54" descr="catalisti.be">
                  <a:extLst>
                    <a:ext uri="{FF2B5EF4-FFF2-40B4-BE49-F238E27FC236}">
                      <a16:creationId xmlns:a16="http://schemas.microsoft.com/office/drawing/2014/main" id="{3594F4FB-A377-4275-A5FD-BE9AB350C6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6" name="Rectangle 55">
                  <a:extLst>
                    <a:ext uri="{FF2B5EF4-FFF2-40B4-BE49-F238E27FC236}">
                      <a16:creationId xmlns:a16="http://schemas.microsoft.com/office/drawing/2014/main" id="{DE3798B7-B7F1-44BC-9E63-FBB9133DFC7B}"/>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57" name="Rectangle: Rounded Corners 56">
                  <a:extLst>
                    <a:ext uri="{FF2B5EF4-FFF2-40B4-BE49-F238E27FC236}">
                      <a16:creationId xmlns:a16="http://schemas.microsoft.com/office/drawing/2014/main" id="{3F3151FA-80C9-4EFD-919D-7314AC194FCF}"/>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58" name="Picture 57">
                  <a:extLst>
                    <a:ext uri="{FF2B5EF4-FFF2-40B4-BE49-F238E27FC236}">
                      <a16:creationId xmlns:a16="http://schemas.microsoft.com/office/drawing/2014/main" id="{B191E174-A21F-4F71-B1CD-59DC8476D4A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59" name="Picture 58">
                  <a:extLst>
                    <a:ext uri="{FF2B5EF4-FFF2-40B4-BE49-F238E27FC236}">
                      <a16:creationId xmlns:a16="http://schemas.microsoft.com/office/drawing/2014/main" id="{D3904E43-0C3C-407B-ACFA-89F041D2C8B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0" name="Picture 59">
                  <a:extLst>
                    <a:ext uri="{FF2B5EF4-FFF2-40B4-BE49-F238E27FC236}">
                      <a16:creationId xmlns:a16="http://schemas.microsoft.com/office/drawing/2014/main" id="{6E2586F7-E8F4-4726-8B32-A8720FD734A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1" name="Picture 60">
                  <a:extLst>
                    <a:ext uri="{FF2B5EF4-FFF2-40B4-BE49-F238E27FC236}">
                      <a16:creationId xmlns:a16="http://schemas.microsoft.com/office/drawing/2014/main" id="{944B54A9-4E9E-4532-9671-269CE8C5FB6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3" name="Picture 52">
                <a:extLst>
                  <a:ext uri="{FF2B5EF4-FFF2-40B4-BE49-F238E27FC236}">
                    <a16:creationId xmlns:a16="http://schemas.microsoft.com/office/drawing/2014/main" id="{B2C048AA-5B8E-4249-83A8-FC8D973CC1D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54" name="TextBox 53">
                <a:extLst>
                  <a:ext uri="{FF2B5EF4-FFF2-40B4-BE49-F238E27FC236}">
                    <a16:creationId xmlns:a16="http://schemas.microsoft.com/office/drawing/2014/main" id="{3FC15715-6BBD-4D3B-A1AE-2B76170F6A32}"/>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1" name="Picture 50">
              <a:extLst>
                <a:ext uri="{FF2B5EF4-FFF2-40B4-BE49-F238E27FC236}">
                  <a16:creationId xmlns:a16="http://schemas.microsoft.com/office/drawing/2014/main" id="{FF6391AA-5C50-4980-8663-0D61C9A717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1007745</xdr:colOff>
      <xdr:row>4</xdr:row>
      <xdr:rowOff>97827</xdr:rowOff>
    </xdr:from>
    <xdr:to>
      <xdr:col>0</xdr:col>
      <xdr:colOff>1617345</xdr:colOff>
      <xdr:row>8</xdr:row>
      <xdr:rowOff>117566</xdr:rowOff>
    </xdr:to>
    <xdr:grpSp>
      <xdr:nvGrpSpPr>
        <xdr:cNvPr id="16" name="Group 15">
          <a:extLst>
            <a:ext uri="{FF2B5EF4-FFF2-40B4-BE49-F238E27FC236}">
              <a16:creationId xmlns:a16="http://schemas.microsoft.com/office/drawing/2014/main" id="{E56B06E3-DD91-4230-8B34-5E5FF4636AC7}"/>
            </a:ext>
          </a:extLst>
        </xdr:cNvPr>
        <xdr:cNvGrpSpPr/>
      </xdr:nvGrpSpPr>
      <xdr:grpSpPr>
        <a:xfrm>
          <a:off x="1011555" y="2494317"/>
          <a:ext cx="609600" cy="595049"/>
          <a:chOff x="13464540" y="68580"/>
          <a:chExt cx="609600" cy="662940"/>
        </a:xfrm>
      </xdr:grpSpPr>
      <xdr:pic macro="[0]!Next_worksheet">
        <xdr:nvPicPr>
          <xdr:cNvPr id="17" name="Picture 16">
            <a:extLst>
              <a:ext uri="{FF2B5EF4-FFF2-40B4-BE49-F238E27FC236}">
                <a16:creationId xmlns:a16="http://schemas.microsoft.com/office/drawing/2014/main" id="{48917E86-CAFA-92CC-607B-DC3CF474A69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8" name="TextBox 17">
            <a:extLst>
              <a:ext uri="{FF2B5EF4-FFF2-40B4-BE49-F238E27FC236}">
                <a16:creationId xmlns:a16="http://schemas.microsoft.com/office/drawing/2014/main" id="{CA70AE18-E89E-BE0D-A4EE-697B95A38F75}"/>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358140</xdr:colOff>
      <xdr:row>4</xdr:row>
      <xdr:rowOff>95922</xdr:rowOff>
    </xdr:from>
    <xdr:to>
      <xdr:col>0</xdr:col>
      <xdr:colOff>967740</xdr:colOff>
      <xdr:row>8</xdr:row>
      <xdr:rowOff>132806</xdr:rowOff>
    </xdr:to>
    <xdr:grpSp>
      <xdr:nvGrpSpPr>
        <xdr:cNvPr id="19" name="Group 18">
          <a:extLst>
            <a:ext uri="{FF2B5EF4-FFF2-40B4-BE49-F238E27FC236}">
              <a16:creationId xmlns:a16="http://schemas.microsoft.com/office/drawing/2014/main" id="{866DA21F-CCD7-460D-ACC2-43E2C648BF76}"/>
            </a:ext>
          </a:extLst>
        </xdr:cNvPr>
        <xdr:cNvGrpSpPr/>
      </xdr:nvGrpSpPr>
      <xdr:grpSpPr>
        <a:xfrm>
          <a:off x="361950" y="2492412"/>
          <a:ext cx="609600" cy="616004"/>
          <a:chOff x="12801600" y="129540"/>
          <a:chExt cx="609600" cy="685800"/>
        </a:xfrm>
      </xdr:grpSpPr>
      <xdr:pic macro="[0]!Previous_worksheet">
        <xdr:nvPicPr>
          <xdr:cNvPr id="20" name="Picture 19">
            <a:extLst>
              <a:ext uri="{FF2B5EF4-FFF2-40B4-BE49-F238E27FC236}">
                <a16:creationId xmlns:a16="http://schemas.microsoft.com/office/drawing/2014/main" id="{7E525C12-04EE-5AF7-D9C2-7733E90E0EA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21" name="TextBox 20">
            <a:extLst>
              <a:ext uri="{FF2B5EF4-FFF2-40B4-BE49-F238E27FC236}">
                <a16:creationId xmlns:a16="http://schemas.microsoft.com/office/drawing/2014/main" id="{AFE3BA87-A4E6-5924-210A-EDA5CC9EBD69}"/>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171449</xdr:colOff>
      <xdr:row>10</xdr:row>
      <xdr:rowOff>20728</xdr:rowOff>
    </xdr:from>
    <xdr:to>
      <xdr:col>0</xdr:col>
      <xdr:colOff>1851659</xdr:colOff>
      <xdr:row>12</xdr:row>
      <xdr:rowOff>54330</xdr:rowOff>
    </xdr:to>
    <xdr:sp macro="" textlink="">
      <xdr:nvSpPr>
        <xdr:cNvPr id="22" name="Rounded Rectangle 7" descr="88275868-aeab-4f87-a01d-ccbc353eb7e2">
          <a:hlinkClick xmlns:r="http://schemas.openxmlformats.org/officeDocument/2006/relationships" r:id="rId10"/>
          <a:extLst>
            <a:ext uri="{FF2B5EF4-FFF2-40B4-BE49-F238E27FC236}">
              <a16:creationId xmlns:a16="http://schemas.microsoft.com/office/drawing/2014/main" id="{6C24AF38-D36A-4929-82BC-0CF2013FA6D4}"/>
            </a:ext>
          </a:extLst>
        </xdr:cNvPr>
        <xdr:cNvSpPr/>
      </xdr:nvSpPr>
      <xdr:spPr>
        <a:xfrm>
          <a:off x="171449" y="3364426"/>
          <a:ext cx="1685925" cy="346234"/>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173354</xdr:colOff>
      <xdr:row>13</xdr:row>
      <xdr:rowOff>16731</xdr:rowOff>
    </xdr:from>
    <xdr:to>
      <xdr:col>0</xdr:col>
      <xdr:colOff>1847849</xdr:colOff>
      <xdr:row>15</xdr:row>
      <xdr:rowOff>57451</xdr:rowOff>
    </xdr:to>
    <xdr:sp macro="" textlink="">
      <xdr:nvSpPr>
        <xdr:cNvPr id="23" name="Rounded Rectangle 7" descr="c19dcb94-b068-4513-92e2-a925dcafe07a">
          <a:hlinkClick xmlns:r="http://schemas.openxmlformats.org/officeDocument/2006/relationships" r:id="rId11"/>
          <a:extLst>
            <a:ext uri="{FF2B5EF4-FFF2-40B4-BE49-F238E27FC236}">
              <a16:creationId xmlns:a16="http://schemas.microsoft.com/office/drawing/2014/main" id="{FC686F74-5378-4E03-B79B-4A2F3C55B826}"/>
            </a:ext>
          </a:extLst>
        </xdr:cNvPr>
        <xdr:cNvSpPr/>
      </xdr:nvSpPr>
      <xdr:spPr>
        <a:xfrm>
          <a:off x="161924" y="3824614"/>
          <a:ext cx="1685925" cy="340864"/>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173354</xdr:colOff>
      <xdr:row>15</xdr:row>
      <xdr:rowOff>136457</xdr:rowOff>
    </xdr:from>
    <xdr:to>
      <xdr:col>0</xdr:col>
      <xdr:colOff>1847849</xdr:colOff>
      <xdr:row>17</xdr:row>
      <xdr:rowOff>129774</xdr:rowOff>
    </xdr:to>
    <xdr:sp macro="" textlink="">
      <xdr:nvSpPr>
        <xdr:cNvPr id="24" name="Rounded Rectangle 7" descr="8c90efaf-3d1b-4ff1-aff0-7a04e8abc331">
          <a:hlinkClick xmlns:r="http://schemas.openxmlformats.org/officeDocument/2006/relationships" r:id="rId12"/>
          <a:extLst>
            <a:ext uri="{FF2B5EF4-FFF2-40B4-BE49-F238E27FC236}">
              <a16:creationId xmlns:a16="http://schemas.microsoft.com/office/drawing/2014/main" id="{DB5139CA-BF15-4832-ACE4-B7F861055BFE}"/>
            </a:ext>
          </a:extLst>
        </xdr:cNvPr>
        <xdr:cNvSpPr/>
      </xdr:nvSpPr>
      <xdr:spPr>
        <a:xfrm>
          <a:off x="161924" y="4266920"/>
          <a:ext cx="1685925" cy="345954"/>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oneCell">
    <xdr:from>
      <xdr:col>0</xdr:col>
      <xdr:colOff>519112</xdr:colOff>
      <xdr:row>124</xdr:row>
      <xdr:rowOff>55930</xdr:rowOff>
    </xdr:from>
    <xdr:to>
      <xdr:col>0</xdr:col>
      <xdr:colOff>1425892</xdr:colOff>
      <xdr:row>128</xdr:row>
      <xdr:rowOff>134890</xdr:rowOff>
    </xdr:to>
    <xdr:grpSp>
      <xdr:nvGrpSpPr>
        <xdr:cNvPr id="25" name="Group 24">
          <a:extLst>
            <a:ext uri="{FF2B5EF4-FFF2-40B4-BE49-F238E27FC236}">
              <a16:creationId xmlns:a16="http://schemas.microsoft.com/office/drawing/2014/main" id="{9DC8993D-F866-4CB2-9F3F-409FB227062A}"/>
            </a:ext>
          </a:extLst>
        </xdr:cNvPr>
        <xdr:cNvGrpSpPr/>
      </xdr:nvGrpSpPr>
      <xdr:grpSpPr>
        <a:xfrm>
          <a:off x="515302" y="20643265"/>
          <a:ext cx="914400" cy="699990"/>
          <a:chOff x="12771120" y="8145780"/>
          <a:chExt cx="906780" cy="739140"/>
        </a:xfrm>
      </xdr:grpSpPr>
      <xdr:pic>
        <xdr:nvPicPr>
          <xdr:cNvPr id="26" name="Picture 25">
            <a:extLst>
              <a:ext uri="{FF2B5EF4-FFF2-40B4-BE49-F238E27FC236}">
                <a16:creationId xmlns:a16="http://schemas.microsoft.com/office/drawing/2014/main" id="{3DD967C6-CC37-0138-7289-442BF81DF09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 textlink="">
        <xdr:nvSpPr>
          <xdr:cNvPr id="27" name="TextBox 26">
            <a:extLst>
              <a:ext uri="{FF2B5EF4-FFF2-40B4-BE49-F238E27FC236}">
                <a16:creationId xmlns:a16="http://schemas.microsoft.com/office/drawing/2014/main" id="{AB61CBC9-50B5-00B7-C2E7-E8CF738F815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absolute">
    <xdr:from>
      <xdr:col>0</xdr:col>
      <xdr:colOff>171449</xdr:colOff>
      <xdr:row>21</xdr:row>
      <xdr:rowOff>153277</xdr:rowOff>
    </xdr:from>
    <xdr:to>
      <xdr:col>0</xdr:col>
      <xdr:colOff>1813559</xdr:colOff>
      <xdr:row>24</xdr:row>
      <xdr:rowOff>15854</xdr:rowOff>
    </xdr:to>
    <xdr:sp macro="" textlink="">
      <xdr:nvSpPr>
        <xdr:cNvPr id="28" name="Rounded Rectangle 25" descr="45b02107-02fc-4bae-9fa9-dfefd7f029f2">
          <a:hlinkClick xmlns:r="http://schemas.openxmlformats.org/officeDocument/2006/relationships" r:id="rId13"/>
          <a:extLst>
            <a:ext uri="{FF2B5EF4-FFF2-40B4-BE49-F238E27FC236}">
              <a16:creationId xmlns:a16="http://schemas.microsoft.com/office/drawing/2014/main" id="{357D0627-346F-4906-A3EC-2C30E88A7356}"/>
            </a:ext>
          </a:extLst>
        </xdr:cNvPr>
        <xdr:cNvSpPr/>
      </xdr:nvSpPr>
      <xdr:spPr>
        <a:xfrm>
          <a:off x="171449" y="5252538"/>
          <a:ext cx="1647825" cy="326763"/>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absolute">
    <xdr:from>
      <xdr:col>0</xdr:col>
      <xdr:colOff>167640</xdr:colOff>
      <xdr:row>25</xdr:row>
      <xdr:rowOff>19193</xdr:rowOff>
    </xdr:from>
    <xdr:to>
      <xdr:col>0</xdr:col>
      <xdr:colOff>1809750</xdr:colOff>
      <xdr:row>27</xdr:row>
      <xdr:rowOff>17486</xdr:rowOff>
    </xdr:to>
    <xdr:sp macro="" textlink="">
      <xdr:nvSpPr>
        <xdr:cNvPr id="29" name="Rounded Rectangle 25" descr="454c25c6-d3d1-4d08-9488-1b2c45010c0d">
          <a:hlinkClick xmlns:r="http://schemas.openxmlformats.org/officeDocument/2006/relationships" r:id="rId14"/>
          <a:extLst>
            <a:ext uri="{FF2B5EF4-FFF2-40B4-BE49-F238E27FC236}">
              <a16:creationId xmlns:a16="http://schemas.microsoft.com/office/drawing/2014/main" id="{CD73B7BD-8748-4516-8F7E-7B3B4BBC3E1B}"/>
            </a:ext>
          </a:extLst>
        </xdr:cNvPr>
        <xdr:cNvSpPr/>
      </xdr:nvSpPr>
      <xdr:spPr>
        <a:xfrm>
          <a:off x="161925" y="5713660"/>
          <a:ext cx="1647825" cy="331246"/>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167640</xdr:colOff>
      <xdr:row>27</xdr:row>
      <xdr:rowOff>114563</xdr:rowOff>
    </xdr:from>
    <xdr:to>
      <xdr:col>0</xdr:col>
      <xdr:colOff>1809750</xdr:colOff>
      <xdr:row>29</xdr:row>
      <xdr:rowOff>114782</xdr:rowOff>
    </xdr:to>
    <xdr:sp macro="" textlink="">
      <xdr:nvSpPr>
        <xdr:cNvPr id="30" name="Rounded Rectangle 25" descr="78e393b4-4710-4fe4-a7aa-14a0fb22821a">
          <a:hlinkClick xmlns:r="http://schemas.openxmlformats.org/officeDocument/2006/relationships" r:id="rId15"/>
          <a:extLst>
            <a:ext uri="{FF2B5EF4-FFF2-40B4-BE49-F238E27FC236}">
              <a16:creationId xmlns:a16="http://schemas.microsoft.com/office/drawing/2014/main" id="{DD169FE8-C88E-4C93-ADA4-F06445ACCFBA}"/>
            </a:ext>
          </a:extLst>
        </xdr:cNvPr>
        <xdr:cNvSpPr/>
      </xdr:nvSpPr>
      <xdr:spPr>
        <a:xfrm>
          <a:off x="161925" y="6173522"/>
          <a:ext cx="1647825" cy="329784"/>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167640</xdr:colOff>
      <xdr:row>30</xdr:row>
      <xdr:rowOff>96964</xdr:rowOff>
    </xdr:from>
    <xdr:to>
      <xdr:col>0</xdr:col>
      <xdr:colOff>1809750</xdr:colOff>
      <xdr:row>32</xdr:row>
      <xdr:rowOff>129824</xdr:rowOff>
    </xdr:to>
    <xdr:sp macro="" textlink="">
      <xdr:nvSpPr>
        <xdr:cNvPr id="31" name="Rounded Rectangle 25" descr="b20837d6-2f2d-4359-9afe-eac0cfc4d6c6">
          <a:hlinkClick xmlns:r="http://schemas.openxmlformats.org/officeDocument/2006/relationships" r:id="rId16"/>
          <a:extLst>
            <a:ext uri="{FF2B5EF4-FFF2-40B4-BE49-F238E27FC236}">
              <a16:creationId xmlns:a16="http://schemas.microsoft.com/office/drawing/2014/main" id="{6FE32B9B-F69F-40F3-ACE3-D81B7C99E739}"/>
            </a:ext>
          </a:extLst>
        </xdr:cNvPr>
        <xdr:cNvSpPr/>
      </xdr:nvSpPr>
      <xdr:spPr>
        <a:xfrm>
          <a:off x="161925" y="6616933"/>
          <a:ext cx="1647825" cy="332367"/>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twoCellAnchor>
    <xdr:from>
      <xdr:col>5</xdr:col>
      <xdr:colOff>273709</xdr:colOff>
      <xdr:row>42</xdr:row>
      <xdr:rowOff>39291</xdr:rowOff>
    </xdr:from>
    <xdr:to>
      <xdr:col>9</xdr:col>
      <xdr:colOff>1754591</xdr:colOff>
      <xdr:row>55</xdr:row>
      <xdr:rowOff>119062</xdr:rowOff>
    </xdr:to>
    <xdr:graphicFrame macro="">
      <xdr:nvGraphicFramePr>
        <xdr:cNvPr id="32" name="Chart 31">
          <a:extLst>
            <a:ext uri="{FF2B5EF4-FFF2-40B4-BE49-F238E27FC236}">
              <a16:creationId xmlns:a16="http://schemas.microsoft.com/office/drawing/2014/main" id="{9A74629C-26AE-422E-9B2F-C518780C4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240030</xdr:colOff>
      <xdr:row>0</xdr:row>
      <xdr:rowOff>100965</xdr:rowOff>
    </xdr:from>
    <xdr:to>
      <xdr:col>10</xdr:col>
      <xdr:colOff>351790</xdr:colOff>
      <xdr:row>0</xdr:row>
      <xdr:rowOff>1778847</xdr:rowOff>
    </xdr:to>
    <xdr:grpSp>
      <xdr:nvGrpSpPr>
        <xdr:cNvPr id="36" name="Group 35">
          <a:extLst>
            <a:ext uri="{FF2B5EF4-FFF2-40B4-BE49-F238E27FC236}">
              <a16:creationId xmlns:a16="http://schemas.microsoft.com/office/drawing/2014/main" id="{F1BC6F91-4E37-4114-B9A5-1D164E8C3EDE}"/>
            </a:ext>
          </a:extLst>
        </xdr:cNvPr>
        <xdr:cNvGrpSpPr/>
      </xdr:nvGrpSpPr>
      <xdr:grpSpPr>
        <a:xfrm>
          <a:off x="243840" y="97155"/>
          <a:ext cx="16454755" cy="1677882"/>
          <a:chOff x="171450" y="91441"/>
          <a:chExt cx="16462375" cy="1683597"/>
        </a:xfrm>
      </xdr:grpSpPr>
      <xdr:pic>
        <xdr:nvPicPr>
          <xdr:cNvPr id="37" name="Picture 36">
            <a:extLst>
              <a:ext uri="{FF2B5EF4-FFF2-40B4-BE49-F238E27FC236}">
                <a16:creationId xmlns:a16="http://schemas.microsoft.com/office/drawing/2014/main" id="{97DE9BE4-3654-4496-AC6D-351205799977}"/>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38" name="Group 37">
            <a:extLst>
              <a:ext uri="{FF2B5EF4-FFF2-40B4-BE49-F238E27FC236}">
                <a16:creationId xmlns:a16="http://schemas.microsoft.com/office/drawing/2014/main" id="{46D7C8CF-1D55-4F8B-A11A-3D24A902EF31}"/>
              </a:ext>
            </a:extLst>
          </xdr:cNvPr>
          <xdr:cNvGrpSpPr/>
        </xdr:nvGrpSpPr>
        <xdr:grpSpPr>
          <a:xfrm>
            <a:off x="167640" y="95251"/>
            <a:ext cx="16462375" cy="1675977"/>
            <a:chOff x="167640" y="95251"/>
            <a:chExt cx="16462375" cy="1675977"/>
          </a:xfrm>
        </xdr:grpSpPr>
        <xdr:grpSp>
          <xdr:nvGrpSpPr>
            <xdr:cNvPr id="39" name="Group 38">
              <a:extLst>
                <a:ext uri="{FF2B5EF4-FFF2-40B4-BE49-F238E27FC236}">
                  <a16:creationId xmlns:a16="http://schemas.microsoft.com/office/drawing/2014/main" id="{202EB2F8-27A4-4B34-9F70-9BC32F272C06}"/>
                </a:ext>
              </a:extLst>
            </xdr:cNvPr>
            <xdr:cNvGrpSpPr/>
          </xdr:nvGrpSpPr>
          <xdr:grpSpPr>
            <a:xfrm>
              <a:off x="171450" y="91441"/>
              <a:ext cx="16462375" cy="1683597"/>
              <a:chOff x="171449" y="38100"/>
              <a:chExt cx="16659225" cy="1704975"/>
            </a:xfrm>
          </xdr:grpSpPr>
          <xdr:grpSp>
            <xdr:nvGrpSpPr>
              <xdr:cNvPr id="41" name="Group 40">
                <a:extLst>
                  <a:ext uri="{FF2B5EF4-FFF2-40B4-BE49-F238E27FC236}">
                    <a16:creationId xmlns:a16="http://schemas.microsoft.com/office/drawing/2014/main" id="{D0C827C7-39D4-4637-85E6-6303CFA6FF0C}"/>
                  </a:ext>
                </a:extLst>
              </xdr:cNvPr>
              <xdr:cNvGrpSpPr/>
            </xdr:nvGrpSpPr>
            <xdr:grpSpPr>
              <a:xfrm>
                <a:off x="171449" y="38100"/>
                <a:ext cx="16659225" cy="1704975"/>
                <a:chOff x="171449" y="38100"/>
                <a:chExt cx="16659225" cy="1704975"/>
              </a:xfrm>
            </xdr:grpSpPr>
            <xdr:pic>
              <xdr:nvPicPr>
                <xdr:cNvPr id="44" name="Picture 43" descr="catalisti.be">
                  <a:extLst>
                    <a:ext uri="{FF2B5EF4-FFF2-40B4-BE49-F238E27FC236}">
                      <a16:creationId xmlns:a16="http://schemas.microsoft.com/office/drawing/2014/main" id="{181874DA-ABC0-4108-8013-522EFADFC4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 name="Rectangle 44">
                  <a:extLst>
                    <a:ext uri="{FF2B5EF4-FFF2-40B4-BE49-F238E27FC236}">
                      <a16:creationId xmlns:a16="http://schemas.microsoft.com/office/drawing/2014/main" id="{6C930FDD-6DCF-48FA-9D21-6E24FD5087B7}"/>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46" name="Rectangle: Rounded Corners 45">
                  <a:extLst>
                    <a:ext uri="{FF2B5EF4-FFF2-40B4-BE49-F238E27FC236}">
                      <a16:creationId xmlns:a16="http://schemas.microsoft.com/office/drawing/2014/main" id="{1D0C8247-889A-4A27-B660-E9B954CE2ABF}"/>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47" name="Picture 46">
                  <a:extLst>
                    <a:ext uri="{FF2B5EF4-FFF2-40B4-BE49-F238E27FC236}">
                      <a16:creationId xmlns:a16="http://schemas.microsoft.com/office/drawing/2014/main" id="{B4D6F432-65B9-4B9C-B8E0-F36C9D1A922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48" name="Picture 47">
                  <a:extLst>
                    <a:ext uri="{FF2B5EF4-FFF2-40B4-BE49-F238E27FC236}">
                      <a16:creationId xmlns:a16="http://schemas.microsoft.com/office/drawing/2014/main" id="{43966857-C695-4CEA-B197-F64713F38FD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52" name="Picture 51">
                  <a:extLst>
                    <a:ext uri="{FF2B5EF4-FFF2-40B4-BE49-F238E27FC236}">
                      <a16:creationId xmlns:a16="http://schemas.microsoft.com/office/drawing/2014/main" id="{3A8A730F-EC08-4667-8F5D-83949FD79E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53" name="Picture 52">
                  <a:extLst>
                    <a:ext uri="{FF2B5EF4-FFF2-40B4-BE49-F238E27FC236}">
                      <a16:creationId xmlns:a16="http://schemas.microsoft.com/office/drawing/2014/main" id="{0E8B36AF-8931-4F5B-A168-67126E98475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2" name="Picture 41">
                <a:extLst>
                  <a:ext uri="{FF2B5EF4-FFF2-40B4-BE49-F238E27FC236}">
                    <a16:creationId xmlns:a16="http://schemas.microsoft.com/office/drawing/2014/main" id="{66793D27-578C-4754-9FB2-6991C57E17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43" name="TextBox 42">
                <a:extLst>
                  <a:ext uri="{FF2B5EF4-FFF2-40B4-BE49-F238E27FC236}">
                    <a16:creationId xmlns:a16="http://schemas.microsoft.com/office/drawing/2014/main" id="{E5B3F48C-D508-4D6B-BF32-539948C97043}"/>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40" name="Picture 39">
              <a:extLst>
                <a:ext uri="{FF2B5EF4-FFF2-40B4-BE49-F238E27FC236}">
                  <a16:creationId xmlns:a16="http://schemas.microsoft.com/office/drawing/2014/main" id="{5F1A3011-B58C-4920-B3B7-749BC92D60F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1019175</xdr:colOff>
      <xdr:row>4</xdr:row>
      <xdr:rowOff>123825</xdr:rowOff>
    </xdr:from>
    <xdr:to>
      <xdr:col>0</xdr:col>
      <xdr:colOff>1628775</xdr:colOff>
      <xdr:row>8</xdr:row>
      <xdr:rowOff>62865</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1017270" y="2487930"/>
          <a:ext cx="609600" cy="647700"/>
          <a:chOff x="13464540" y="68580"/>
          <a:chExt cx="609600" cy="662940"/>
        </a:xfrm>
      </xdr:grpSpPr>
      <xdr:pic macro="[0]!Next_worksheet">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1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352425</xdr:colOff>
      <xdr:row>4</xdr:row>
      <xdr:rowOff>114300</xdr:rowOff>
    </xdr:from>
    <xdr:to>
      <xdr:col>0</xdr:col>
      <xdr:colOff>962025</xdr:colOff>
      <xdr:row>8</xdr:row>
      <xdr:rowOff>72390</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354330" y="2476500"/>
          <a:ext cx="609600" cy="672465"/>
          <a:chOff x="12801600" y="129540"/>
          <a:chExt cx="609600" cy="685800"/>
        </a:xfrm>
      </xdr:grpSpPr>
      <xdr:pic macro="[0]!Previous_worksheet">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1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561975</xdr:colOff>
      <xdr:row>24</xdr:row>
      <xdr:rowOff>133350</xdr:rowOff>
    </xdr:from>
    <xdr:to>
      <xdr:col>0</xdr:col>
      <xdr:colOff>1468755</xdr:colOff>
      <xdr:row>30</xdr:row>
      <xdr:rowOff>5715</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560070" y="5930265"/>
          <a:ext cx="904875" cy="735330"/>
          <a:chOff x="12771120" y="8145780"/>
          <a:chExt cx="906780" cy="739140"/>
        </a:xfrm>
      </xdr:grpSpPr>
      <xdr:pic macro="[0]!Top_of_page">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1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1562100</xdr:colOff>
      <xdr:row>2</xdr:row>
      <xdr:rowOff>123825</xdr:rowOff>
    </xdr:from>
    <xdr:to>
      <xdr:col>1</xdr:col>
      <xdr:colOff>1769382</xdr:colOff>
      <xdr:row>3</xdr:row>
      <xdr:rowOff>182135</xdr:rowOff>
    </xdr:to>
    <xdr:pic macro="[0]!ProjectSheet">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0"/>
        <a:stretch>
          <a:fillRect/>
        </a:stretch>
      </xdr:blipFill>
      <xdr:spPr>
        <a:xfrm>
          <a:off x="3609975" y="2095500"/>
          <a:ext cx="207282" cy="201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xdr:colOff>
      <xdr:row>0</xdr:row>
      <xdr:rowOff>78105</xdr:rowOff>
    </xdr:from>
    <xdr:to>
      <xdr:col>13</xdr:col>
      <xdr:colOff>26035</xdr:colOff>
      <xdr:row>0</xdr:row>
      <xdr:rowOff>1761702</xdr:rowOff>
    </xdr:to>
    <xdr:grpSp>
      <xdr:nvGrpSpPr>
        <xdr:cNvPr id="37" name="Group 36">
          <a:extLst>
            <a:ext uri="{FF2B5EF4-FFF2-40B4-BE49-F238E27FC236}">
              <a16:creationId xmlns:a16="http://schemas.microsoft.com/office/drawing/2014/main" id="{A72778AA-28BE-4CD0-90E8-224855697CC3}"/>
            </a:ext>
          </a:extLst>
        </xdr:cNvPr>
        <xdr:cNvGrpSpPr/>
      </xdr:nvGrpSpPr>
      <xdr:grpSpPr>
        <a:xfrm>
          <a:off x="211455" y="78105"/>
          <a:ext cx="16460470" cy="1685502"/>
          <a:chOff x="171450" y="91441"/>
          <a:chExt cx="16462375" cy="1683597"/>
        </a:xfrm>
      </xdr:grpSpPr>
      <xdr:pic>
        <xdr:nvPicPr>
          <xdr:cNvPr id="38" name="Picture 37">
            <a:extLst>
              <a:ext uri="{FF2B5EF4-FFF2-40B4-BE49-F238E27FC236}">
                <a16:creationId xmlns:a16="http://schemas.microsoft.com/office/drawing/2014/main" id="{0C3F2A17-DF3A-46FC-8C01-E77842CC4B1C}"/>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39" name="Group 38">
            <a:extLst>
              <a:ext uri="{FF2B5EF4-FFF2-40B4-BE49-F238E27FC236}">
                <a16:creationId xmlns:a16="http://schemas.microsoft.com/office/drawing/2014/main" id="{925E7470-9104-4033-B3E5-75D38B18623C}"/>
              </a:ext>
            </a:extLst>
          </xdr:cNvPr>
          <xdr:cNvGrpSpPr/>
        </xdr:nvGrpSpPr>
        <xdr:grpSpPr>
          <a:xfrm>
            <a:off x="167640" y="95251"/>
            <a:ext cx="16462375" cy="1675977"/>
            <a:chOff x="167640" y="95251"/>
            <a:chExt cx="16462375" cy="1675977"/>
          </a:xfrm>
        </xdr:grpSpPr>
        <xdr:grpSp>
          <xdr:nvGrpSpPr>
            <xdr:cNvPr id="40" name="Group 39">
              <a:extLst>
                <a:ext uri="{FF2B5EF4-FFF2-40B4-BE49-F238E27FC236}">
                  <a16:creationId xmlns:a16="http://schemas.microsoft.com/office/drawing/2014/main" id="{BA93F29A-4970-4E0A-BFB0-D205F0D18D65}"/>
                </a:ext>
              </a:extLst>
            </xdr:cNvPr>
            <xdr:cNvGrpSpPr/>
          </xdr:nvGrpSpPr>
          <xdr:grpSpPr>
            <a:xfrm>
              <a:off x="171450" y="91441"/>
              <a:ext cx="16462375" cy="1683597"/>
              <a:chOff x="171449" y="38100"/>
              <a:chExt cx="16659225" cy="1704975"/>
            </a:xfrm>
          </xdr:grpSpPr>
          <xdr:grpSp>
            <xdr:nvGrpSpPr>
              <xdr:cNvPr id="42" name="Group 41">
                <a:extLst>
                  <a:ext uri="{FF2B5EF4-FFF2-40B4-BE49-F238E27FC236}">
                    <a16:creationId xmlns:a16="http://schemas.microsoft.com/office/drawing/2014/main" id="{A64CB291-2E50-45C8-9ACC-A851BD4FEF6E}"/>
                  </a:ext>
                </a:extLst>
              </xdr:cNvPr>
              <xdr:cNvGrpSpPr/>
            </xdr:nvGrpSpPr>
            <xdr:grpSpPr>
              <a:xfrm>
                <a:off x="171449" y="38100"/>
                <a:ext cx="16659225" cy="1704975"/>
                <a:chOff x="171449" y="38100"/>
                <a:chExt cx="16659225" cy="1704975"/>
              </a:xfrm>
            </xdr:grpSpPr>
            <xdr:pic>
              <xdr:nvPicPr>
                <xdr:cNvPr id="45" name="Picture 44" descr="catalisti.be">
                  <a:extLst>
                    <a:ext uri="{FF2B5EF4-FFF2-40B4-BE49-F238E27FC236}">
                      <a16:creationId xmlns:a16="http://schemas.microsoft.com/office/drawing/2014/main" id="{A099753E-7A41-466D-A020-EB6B2D76C9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 name="Rectangle 45">
                  <a:extLst>
                    <a:ext uri="{FF2B5EF4-FFF2-40B4-BE49-F238E27FC236}">
                      <a16:creationId xmlns:a16="http://schemas.microsoft.com/office/drawing/2014/main" id="{D994FEDF-7FA2-4CAD-A63F-0517B3F1C4D1}"/>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47" name="Rectangle: Rounded Corners 46">
                  <a:extLst>
                    <a:ext uri="{FF2B5EF4-FFF2-40B4-BE49-F238E27FC236}">
                      <a16:creationId xmlns:a16="http://schemas.microsoft.com/office/drawing/2014/main" id="{147E5083-DE4F-4504-ADCB-E443E9B8AB12}"/>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48" name="Picture 47">
                  <a:extLst>
                    <a:ext uri="{FF2B5EF4-FFF2-40B4-BE49-F238E27FC236}">
                      <a16:creationId xmlns:a16="http://schemas.microsoft.com/office/drawing/2014/main" id="{93A60532-5434-4D42-93DB-0DA03C98BA7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49" name="Picture 48">
                  <a:extLst>
                    <a:ext uri="{FF2B5EF4-FFF2-40B4-BE49-F238E27FC236}">
                      <a16:creationId xmlns:a16="http://schemas.microsoft.com/office/drawing/2014/main" id="{9785FF5E-508C-47D2-B599-1F920368DA7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8" name="Picture 67">
                  <a:extLst>
                    <a:ext uri="{FF2B5EF4-FFF2-40B4-BE49-F238E27FC236}">
                      <a16:creationId xmlns:a16="http://schemas.microsoft.com/office/drawing/2014/main" id="{F13CEB5F-7D34-4760-BC48-2A5073AF5C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9" name="Picture 68">
                  <a:extLst>
                    <a:ext uri="{FF2B5EF4-FFF2-40B4-BE49-F238E27FC236}">
                      <a16:creationId xmlns:a16="http://schemas.microsoft.com/office/drawing/2014/main" id="{970321E4-FF05-4E67-AA20-B96095DC3E48}"/>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3" name="Picture 42">
                <a:extLst>
                  <a:ext uri="{FF2B5EF4-FFF2-40B4-BE49-F238E27FC236}">
                    <a16:creationId xmlns:a16="http://schemas.microsoft.com/office/drawing/2014/main" id="{FE889040-3459-4A53-97E1-9961F3CD552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44" name="TextBox 43">
                <a:extLst>
                  <a:ext uri="{FF2B5EF4-FFF2-40B4-BE49-F238E27FC236}">
                    <a16:creationId xmlns:a16="http://schemas.microsoft.com/office/drawing/2014/main" id="{2D675515-CB2B-4716-9BA6-D4955AA458B6}"/>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41" name="Picture 40">
              <a:extLst>
                <a:ext uri="{FF2B5EF4-FFF2-40B4-BE49-F238E27FC236}">
                  <a16:creationId xmlns:a16="http://schemas.microsoft.com/office/drawing/2014/main" id="{79AC6B07-3AE6-4FC8-92E6-61EE401E53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1017270</xdr:colOff>
      <xdr:row>4</xdr:row>
      <xdr:rowOff>125730</xdr:rowOff>
    </xdr:from>
    <xdr:to>
      <xdr:col>0</xdr:col>
      <xdr:colOff>1626870</xdr:colOff>
      <xdr:row>8</xdr:row>
      <xdr:rowOff>83820</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1015365" y="2491740"/>
          <a:ext cx="609600" cy="651510"/>
          <a:chOff x="13464540" y="68580"/>
          <a:chExt cx="609600" cy="662940"/>
        </a:xfrm>
      </xdr:grpSpPr>
      <xdr:pic macro="[0]!Next_worksheet">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2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354330</xdr:colOff>
      <xdr:row>4</xdr:row>
      <xdr:rowOff>114300</xdr:rowOff>
    </xdr:from>
    <xdr:to>
      <xdr:col>0</xdr:col>
      <xdr:colOff>963930</xdr:colOff>
      <xdr:row>8</xdr:row>
      <xdr:rowOff>95250</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358140" y="2476500"/>
          <a:ext cx="609600" cy="672465"/>
          <a:chOff x="12801600" y="129540"/>
          <a:chExt cx="609600" cy="685800"/>
        </a:xfrm>
      </xdr:grpSpPr>
      <xdr:pic macro="[0]!Previous_worksheet">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2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504825</xdr:colOff>
      <xdr:row>38</xdr:row>
      <xdr:rowOff>447675</xdr:rowOff>
    </xdr:from>
    <xdr:to>
      <xdr:col>0</xdr:col>
      <xdr:colOff>1411605</xdr:colOff>
      <xdr:row>43</xdr:row>
      <xdr:rowOff>135255</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506730" y="11723370"/>
          <a:ext cx="904875" cy="714375"/>
          <a:chOff x="12771120" y="8145780"/>
          <a:chExt cx="906780" cy="739140"/>
        </a:xfrm>
      </xdr:grpSpPr>
      <xdr:pic macro="[0]!Top_of_page">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2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533400</xdr:colOff>
      <xdr:row>2</xdr:row>
      <xdr:rowOff>95250</xdr:rowOff>
    </xdr:from>
    <xdr:to>
      <xdr:col>2</xdr:col>
      <xdr:colOff>744492</xdr:colOff>
      <xdr:row>3</xdr:row>
      <xdr:rowOff>153560</xdr:rowOff>
    </xdr:to>
    <xdr:pic macro="[0]!TechnologyDescription">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0"/>
        <a:stretch>
          <a:fillRect/>
        </a:stretch>
      </xdr:blipFill>
      <xdr:spPr>
        <a:xfrm>
          <a:off x="4724400" y="2066925"/>
          <a:ext cx="207282" cy="201185"/>
        </a:xfrm>
        <a:prstGeom prst="rect">
          <a:avLst/>
        </a:prstGeom>
      </xdr:spPr>
    </xdr:pic>
    <xdr:clientData/>
  </xdr:twoCellAnchor>
  <xdr:twoCellAnchor editAs="oneCell">
    <xdr:from>
      <xdr:col>2</xdr:col>
      <xdr:colOff>847725</xdr:colOff>
      <xdr:row>13</xdr:row>
      <xdr:rowOff>184149</xdr:rowOff>
    </xdr:from>
    <xdr:to>
      <xdr:col>2</xdr:col>
      <xdr:colOff>983211</xdr:colOff>
      <xdr:row>13</xdr:row>
      <xdr:rowOff>321309</xdr:rowOff>
    </xdr:to>
    <xdr:pic macro="[0]!TRL">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0"/>
        <a:stretch>
          <a:fillRect/>
        </a:stretch>
      </xdr:blipFill>
      <xdr:spPr>
        <a:xfrm>
          <a:off x="5165725" y="4781549"/>
          <a:ext cx="137391" cy="133350"/>
        </a:xfrm>
        <a:prstGeom prst="rect">
          <a:avLst/>
        </a:prstGeom>
      </xdr:spPr>
    </xdr:pic>
    <xdr:clientData/>
  </xdr:twoCellAnchor>
  <xdr:twoCellAnchor editAs="oneCell">
    <xdr:from>
      <xdr:col>1</xdr:col>
      <xdr:colOff>1657350</xdr:colOff>
      <xdr:row>12</xdr:row>
      <xdr:rowOff>0</xdr:rowOff>
    </xdr:from>
    <xdr:to>
      <xdr:col>1</xdr:col>
      <xdr:colOff>1796646</xdr:colOff>
      <xdr:row>12</xdr:row>
      <xdr:rowOff>129540</xdr:rowOff>
    </xdr:to>
    <xdr:pic macro="[0]!Benchmark">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0"/>
        <a:stretch>
          <a:fillRect/>
        </a:stretch>
      </xdr:blipFill>
      <xdr:spPr>
        <a:xfrm>
          <a:off x="3705225" y="5657850"/>
          <a:ext cx="137391" cy="133350"/>
        </a:xfrm>
        <a:prstGeom prst="rect">
          <a:avLst/>
        </a:prstGeom>
      </xdr:spPr>
    </xdr:pic>
    <xdr:clientData/>
  </xdr:twoCellAnchor>
  <xdr:twoCellAnchor editAs="oneCell">
    <xdr:from>
      <xdr:col>11</xdr:col>
      <xdr:colOff>133350</xdr:colOff>
      <xdr:row>3</xdr:row>
      <xdr:rowOff>142875</xdr:rowOff>
    </xdr:from>
    <xdr:to>
      <xdr:col>15</xdr:col>
      <xdr:colOff>205740</xdr:colOff>
      <xdr:row>11</xdr:row>
      <xdr:rowOff>49479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1"/>
        <a:stretch>
          <a:fillRect/>
        </a:stretch>
      </xdr:blipFill>
      <xdr:spPr>
        <a:xfrm>
          <a:off x="15097125" y="2257425"/>
          <a:ext cx="2514600" cy="2076399"/>
        </a:xfrm>
        <a:prstGeom prst="rect">
          <a:avLst/>
        </a:prstGeom>
      </xdr:spPr>
    </xdr:pic>
    <xdr:clientData/>
  </xdr:twoCellAnchor>
  <xdr:twoCellAnchor editAs="oneCell">
    <xdr:from>
      <xdr:col>1</xdr:col>
      <xdr:colOff>1345144</xdr:colOff>
      <xdr:row>6</xdr:row>
      <xdr:rowOff>133350</xdr:rowOff>
    </xdr:from>
    <xdr:to>
      <xdr:col>1</xdr:col>
      <xdr:colOff>1482535</xdr:colOff>
      <xdr:row>7</xdr:row>
      <xdr:rowOff>125730</xdr:rowOff>
    </xdr:to>
    <xdr:pic macro="[0]!ProcessDescription">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0"/>
        <a:stretch>
          <a:fillRect/>
        </a:stretch>
      </xdr:blipFill>
      <xdr:spPr>
        <a:xfrm>
          <a:off x="3444877" y="2901950"/>
          <a:ext cx="137391" cy="134408"/>
        </a:xfrm>
        <a:prstGeom prst="rect">
          <a:avLst/>
        </a:prstGeom>
      </xdr:spPr>
    </xdr:pic>
    <xdr:clientData/>
  </xdr:twoCellAnchor>
  <xdr:oneCellAnchor>
    <xdr:from>
      <xdr:col>1</xdr:col>
      <xdr:colOff>1317627</xdr:colOff>
      <xdr:row>27</xdr:row>
      <xdr:rowOff>9525</xdr:rowOff>
    </xdr:from>
    <xdr:ext cx="137391" cy="133350"/>
    <xdr:pic macro="[0]!SystemBound">
      <xdr:nvPicPr>
        <xdr:cNvPr id="34" name="Pictur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stretch>
          <a:fillRect/>
        </a:stretch>
      </xdr:blipFill>
      <xdr:spPr>
        <a:xfrm>
          <a:off x="3417360" y="9255125"/>
          <a:ext cx="137391" cy="133350"/>
        </a:xfrm>
        <a:prstGeom prst="rect">
          <a:avLst/>
        </a:prstGeom>
      </xdr:spPr>
    </xdr:pic>
    <xdr:clientData/>
  </xdr:oneCellAnchor>
  <xdr:oneCellAnchor>
    <xdr:from>
      <xdr:col>1</xdr:col>
      <xdr:colOff>1358901</xdr:colOff>
      <xdr:row>31</xdr:row>
      <xdr:rowOff>76200</xdr:rowOff>
    </xdr:from>
    <xdr:ext cx="134124" cy="134124"/>
    <xdr:pic macro="[0]!FU">
      <xdr:nvPicPr>
        <xdr:cNvPr id="36" name="Pictur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2"/>
        <a:stretch>
          <a:fillRect/>
        </a:stretch>
      </xdr:blipFill>
      <xdr:spPr>
        <a:xfrm>
          <a:off x="3458634" y="10007600"/>
          <a:ext cx="134124" cy="134124"/>
        </a:xfrm>
        <a:prstGeom prst="rect">
          <a:avLst/>
        </a:prstGeom>
      </xdr:spPr>
    </xdr:pic>
    <xdr:clientData/>
  </xdr:oneCellAnchor>
  <xdr:twoCellAnchor editAs="oneCell">
    <xdr:from>
      <xdr:col>2</xdr:col>
      <xdr:colOff>495300</xdr:colOff>
      <xdr:row>17</xdr:row>
      <xdr:rowOff>180975</xdr:rowOff>
    </xdr:from>
    <xdr:to>
      <xdr:col>2</xdr:col>
      <xdr:colOff>628881</xdr:colOff>
      <xdr:row>18</xdr:row>
      <xdr:rowOff>125730</xdr:rowOff>
    </xdr:to>
    <xdr:pic macro="[0]!Purpose">
      <xdr:nvPicPr>
        <xdr:cNvPr id="51" name="Picture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0"/>
        <a:stretch>
          <a:fillRect/>
        </a:stretch>
      </xdr:blipFill>
      <xdr:spPr>
        <a:xfrm>
          <a:off x="4686300" y="7286625"/>
          <a:ext cx="137391" cy="133350"/>
        </a:xfrm>
        <a:prstGeom prst="rect">
          <a:avLst/>
        </a:prstGeom>
      </xdr:spPr>
    </xdr:pic>
    <xdr:clientData/>
  </xdr:twoCellAnchor>
  <xdr:twoCellAnchor editAs="oneCell">
    <xdr:from>
      <xdr:col>1</xdr:col>
      <xdr:colOff>1337735</xdr:colOff>
      <xdr:row>22</xdr:row>
      <xdr:rowOff>56092</xdr:rowOff>
    </xdr:from>
    <xdr:to>
      <xdr:col>1</xdr:col>
      <xdr:colOff>1473221</xdr:colOff>
      <xdr:row>22</xdr:row>
      <xdr:rowOff>189442</xdr:rowOff>
    </xdr:to>
    <xdr:pic macro="[0]!GeographicalScope">
      <xdr:nvPicPr>
        <xdr:cNvPr id="52" name="Picture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0"/>
        <a:stretch>
          <a:fillRect/>
        </a:stretch>
      </xdr:blipFill>
      <xdr:spPr>
        <a:xfrm>
          <a:off x="3437468" y="8361892"/>
          <a:ext cx="137391" cy="133350"/>
        </a:xfrm>
        <a:prstGeom prst="rect">
          <a:avLst/>
        </a:prstGeom>
      </xdr:spPr>
    </xdr:pic>
    <xdr:clientData/>
  </xdr:twoCellAnchor>
  <xdr:twoCellAnchor editAs="oneCell">
    <xdr:from>
      <xdr:col>1</xdr:col>
      <xdr:colOff>1093259</xdr:colOff>
      <xdr:row>24</xdr:row>
      <xdr:rowOff>57150</xdr:rowOff>
    </xdr:from>
    <xdr:to>
      <xdr:col>1</xdr:col>
      <xdr:colOff>1234460</xdr:colOff>
      <xdr:row>24</xdr:row>
      <xdr:rowOff>190500</xdr:rowOff>
    </xdr:to>
    <xdr:pic macro="[0]!TemporalScope">
      <xdr:nvPicPr>
        <xdr:cNvPr id="53" name="Picture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0"/>
        <a:stretch>
          <a:fillRect/>
        </a:stretch>
      </xdr:blipFill>
      <xdr:spPr>
        <a:xfrm>
          <a:off x="3192992" y="8760883"/>
          <a:ext cx="137391" cy="133350"/>
        </a:xfrm>
        <a:prstGeom prst="rect">
          <a:avLst/>
        </a:prstGeom>
      </xdr:spPr>
    </xdr:pic>
    <xdr:clientData/>
  </xdr:twoCellAnchor>
  <xdr:twoCellAnchor editAs="oneCell">
    <xdr:from>
      <xdr:col>1</xdr:col>
      <xdr:colOff>834390</xdr:colOff>
      <xdr:row>10</xdr:row>
      <xdr:rowOff>53340</xdr:rowOff>
    </xdr:from>
    <xdr:to>
      <xdr:col>1</xdr:col>
      <xdr:colOff>987021</xdr:colOff>
      <xdr:row>10</xdr:row>
      <xdr:rowOff>173355</xdr:rowOff>
    </xdr:to>
    <xdr:pic macro="[0]!TRL">
      <xdr:nvPicPr>
        <xdr:cNvPr id="55" name="Picture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0"/>
        <a:stretch>
          <a:fillRect/>
        </a:stretch>
      </xdr:blipFill>
      <xdr:spPr>
        <a:xfrm>
          <a:off x="2939415" y="4091940"/>
          <a:ext cx="152631" cy="116205"/>
        </a:xfrm>
        <a:prstGeom prst="rect">
          <a:avLst/>
        </a:prstGeom>
      </xdr:spPr>
    </xdr:pic>
    <xdr:clientData/>
  </xdr:twoCellAnchor>
  <xdr:oneCellAnchor>
    <xdr:from>
      <xdr:col>2</xdr:col>
      <xdr:colOff>600075</xdr:colOff>
      <xdr:row>35</xdr:row>
      <xdr:rowOff>133350</xdr:rowOff>
    </xdr:from>
    <xdr:ext cx="134124" cy="134124"/>
    <xdr:pic macro="[0]!Multifunctionality">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2"/>
        <a:stretch>
          <a:fillRect/>
        </a:stretch>
      </xdr:blipFill>
      <xdr:spPr>
        <a:xfrm>
          <a:off x="4791075" y="10896600"/>
          <a:ext cx="134124" cy="13412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87630</xdr:rowOff>
    </xdr:from>
    <xdr:to>
      <xdr:col>8</xdr:col>
      <xdr:colOff>241300</xdr:colOff>
      <xdr:row>0</xdr:row>
      <xdr:rowOff>1765512</xdr:rowOff>
    </xdr:to>
    <xdr:grpSp>
      <xdr:nvGrpSpPr>
        <xdr:cNvPr id="27" name="Group 26">
          <a:extLst>
            <a:ext uri="{FF2B5EF4-FFF2-40B4-BE49-F238E27FC236}">
              <a16:creationId xmlns:a16="http://schemas.microsoft.com/office/drawing/2014/main" id="{AA08BAFF-BAD8-41EE-9F55-73CA97F41DC4}"/>
            </a:ext>
          </a:extLst>
        </xdr:cNvPr>
        <xdr:cNvGrpSpPr/>
      </xdr:nvGrpSpPr>
      <xdr:grpSpPr>
        <a:xfrm>
          <a:off x="217170" y="91440"/>
          <a:ext cx="16458565" cy="1677882"/>
          <a:chOff x="171450" y="91441"/>
          <a:chExt cx="16462375" cy="1683597"/>
        </a:xfrm>
      </xdr:grpSpPr>
      <xdr:pic>
        <xdr:nvPicPr>
          <xdr:cNvPr id="28" name="Picture 27">
            <a:extLst>
              <a:ext uri="{FF2B5EF4-FFF2-40B4-BE49-F238E27FC236}">
                <a16:creationId xmlns:a16="http://schemas.microsoft.com/office/drawing/2014/main" id="{E3F1524E-9633-47AD-A10E-7A6E41FC7563}"/>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29" name="Group 28">
            <a:extLst>
              <a:ext uri="{FF2B5EF4-FFF2-40B4-BE49-F238E27FC236}">
                <a16:creationId xmlns:a16="http://schemas.microsoft.com/office/drawing/2014/main" id="{E7FBFCA7-A6B5-4586-8E31-200D0AAC8120}"/>
              </a:ext>
            </a:extLst>
          </xdr:cNvPr>
          <xdr:cNvGrpSpPr/>
        </xdr:nvGrpSpPr>
        <xdr:grpSpPr>
          <a:xfrm>
            <a:off x="167640" y="95251"/>
            <a:ext cx="16462375" cy="1675977"/>
            <a:chOff x="167640" y="95251"/>
            <a:chExt cx="16462375" cy="1675977"/>
          </a:xfrm>
        </xdr:grpSpPr>
        <xdr:grpSp>
          <xdr:nvGrpSpPr>
            <xdr:cNvPr id="30" name="Group 29">
              <a:extLst>
                <a:ext uri="{FF2B5EF4-FFF2-40B4-BE49-F238E27FC236}">
                  <a16:creationId xmlns:a16="http://schemas.microsoft.com/office/drawing/2014/main" id="{2EF19431-60BC-4062-8107-9BBC417EF677}"/>
                </a:ext>
              </a:extLst>
            </xdr:cNvPr>
            <xdr:cNvGrpSpPr/>
          </xdr:nvGrpSpPr>
          <xdr:grpSpPr>
            <a:xfrm>
              <a:off x="171450" y="91441"/>
              <a:ext cx="16462375" cy="1683597"/>
              <a:chOff x="171449" y="38100"/>
              <a:chExt cx="16659225" cy="1704975"/>
            </a:xfrm>
          </xdr:grpSpPr>
          <xdr:grpSp>
            <xdr:nvGrpSpPr>
              <xdr:cNvPr id="32" name="Group 31">
                <a:extLst>
                  <a:ext uri="{FF2B5EF4-FFF2-40B4-BE49-F238E27FC236}">
                    <a16:creationId xmlns:a16="http://schemas.microsoft.com/office/drawing/2014/main" id="{846F3EAA-BEA3-4739-8C72-FA2D4B4213EE}"/>
                  </a:ext>
                </a:extLst>
              </xdr:cNvPr>
              <xdr:cNvGrpSpPr/>
            </xdr:nvGrpSpPr>
            <xdr:grpSpPr>
              <a:xfrm>
                <a:off x="171449" y="38100"/>
                <a:ext cx="16659225" cy="1704975"/>
                <a:chOff x="171449" y="38100"/>
                <a:chExt cx="16659225" cy="1704975"/>
              </a:xfrm>
            </xdr:grpSpPr>
            <xdr:pic>
              <xdr:nvPicPr>
                <xdr:cNvPr id="49" name="Picture 48" descr="catalisti.be">
                  <a:extLst>
                    <a:ext uri="{FF2B5EF4-FFF2-40B4-BE49-F238E27FC236}">
                      <a16:creationId xmlns:a16="http://schemas.microsoft.com/office/drawing/2014/main" id="{32D69221-314F-4B53-9126-0EC1C7DC01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0" name="Rectangle 49">
                  <a:extLst>
                    <a:ext uri="{FF2B5EF4-FFF2-40B4-BE49-F238E27FC236}">
                      <a16:creationId xmlns:a16="http://schemas.microsoft.com/office/drawing/2014/main" id="{6BE38F43-BDBF-483C-8044-7BB88E0CA0B3}"/>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51" name="Rectangle: Rounded Corners 50">
                  <a:extLst>
                    <a:ext uri="{FF2B5EF4-FFF2-40B4-BE49-F238E27FC236}">
                      <a16:creationId xmlns:a16="http://schemas.microsoft.com/office/drawing/2014/main" id="{AF82F955-6C3B-4F4F-9A4E-20F7CE0527BC}"/>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52" name="Picture 51">
                  <a:extLst>
                    <a:ext uri="{FF2B5EF4-FFF2-40B4-BE49-F238E27FC236}">
                      <a16:creationId xmlns:a16="http://schemas.microsoft.com/office/drawing/2014/main" id="{D635C774-610C-48EF-83AC-9312C7EAB94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53" name="Picture 52">
                  <a:extLst>
                    <a:ext uri="{FF2B5EF4-FFF2-40B4-BE49-F238E27FC236}">
                      <a16:creationId xmlns:a16="http://schemas.microsoft.com/office/drawing/2014/main" id="{DD134049-0232-4EE4-9D8B-74A09FBC722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54" name="Picture 53">
                  <a:extLst>
                    <a:ext uri="{FF2B5EF4-FFF2-40B4-BE49-F238E27FC236}">
                      <a16:creationId xmlns:a16="http://schemas.microsoft.com/office/drawing/2014/main" id="{CEE51226-FD2C-40A3-AA19-3B97C8CE73C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55" name="Picture 54">
                  <a:extLst>
                    <a:ext uri="{FF2B5EF4-FFF2-40B4-BE49-F238E27FC236}">
                      <a16:creationId xmlns:a16="http://schemas.microsoft.com/office/drawing/2014/main" id="{366A1852-78B9-4BA9-8120-8AED048646FA}"/>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3" name="Picture 32">
                <a:extLst>
                  <a:ext uri="{FF2B5EF4-FFF2-40B4-BE49-F238E27FC236}">
                    <a16:creationId xmlns:a16="http://schemas.microsoft.com/office/drawing/2014/main" id="{53423AFD-5E77-445E-91B3-3E7308F9FF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48" name="TextBox 47">
                <a:extLst>
                  <a:ext uri="{FF2B5EF4-FFF2-40B4-BE49-F238E27FC236}">
                    <a16:creationId xmlns:a16="http://schemas.microsoft.com/office/drawing/2014/main" id="{7EB89705-A714-4170-8C83-97474A18F9E6}"/>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31" name="Picture 30">
              <a:extLst>
                <a:ext uri="{FF2B5EF4-FFF2-40B4-BE49-F238E27FC236}">
                  <a16:creationId xmlns:a16="http://schemas.microsoft.com/office/drawing/2014/main" id="{D79F5C39-4CDF-4F15-9307-BB74FF97F9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1019175</xdr:colOff>
      <xdr:row>4</xdr:row>
      <xdr:rowOff>123825</xdr:rowOff>
    </xdr:from>
    <xdr:to>
      <xdr:col>0</xdr:col>
      <xdr:colOff>1628775</xdr:colOff>
      <xdr:row>7</xdr:row>
      <xdr:rowOff>129540</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1017270" y="2487930"/>
          <a:ext cx="609600" cy="664845"/>
          <a:chOff x="13464540" y="68580"/>
          <a:chExt cx="609600" cy="662940"/>
        </a:xfrm>
      </xdr:grpSpPr>
      <xdr:pic macro="[0]!Next_worksheet">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3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352425</xdr:colOff>
      <xdr:row>4</xdr:row>
      <xdr:rowOff>114300</xdr:rowOff>
    </xdr:from>
    <xdr:to>
      <xdr:col>0</xdr:col>
      <xdr:colOff>962025</xdr:colOff>
      <xdr:row>7</xdr:row>
      <xdr:rowOff>139065</xdr:rowOff>
    </xdr:to>
    <xdr:grpSp>
      <xdr:nvGrpSpPr>
        <xdr:cNvPr id="14" name="Group 13">
          <a:extLst>
            <a:ext uri="{FF2B5EF4-FFF2-40B4-BE49-F238E27FC236}">
              <a16:creationId xmlns:a16="http://schemas.microsoft.com/office/drawing/2014/main" id="{00000000-0008-0000-0300-00000E000000}"/>
            </a:ext>
          </a:extLst>
        </xdr:cNvPr>
        <xdr:cNvGrpSpPr/>
      </xdr:nvGrpSpPr>
      <xdr:grpSpPr>
        <a:xfrm>
          <a:off x="354330" y="2476500"/>
          <a:ext cx="609600" cy="678180"/>
          <a:chOff x="12801600" y="129540"/>
          <a:chExt cx="609600" cy="685800"/>
        </a:xfrm>
      </xdr:grpSpPr>
      <xdr:pic macro="[0]!Previous_worksheet">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3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457200</xdr:colOff>
      <xdr:row>34</xdr:row>
      <xdr:rowOff>38100</xdr:rowOff>
    </xdr:from>
    <xdr:to>
      <xdr:col>0</xdr:col>
      <xdr:colOff>1363980</xdr:colOff>
      <xdr:row>38</xdr:row>
      <xdr:rowOff>5715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457200" y="10582275"/>
          <a:ext cx="904875" cy="731520"/>
          <a:chOff x="12771120" y="8145780"/>
          <a:chExt cx="906780" cy="739140"/>
        </a:xfrm>
      </xdr:grpSpPr>
      <xdr:pic macro="[0]!Top_of_page">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3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19050</xdr:colOff>
      <xdr:row>3</xdr:row>
      <xdr:rowOff>19050</xdr:rowOff>
    </xdr:from>
    <xdr:to>
      <xdr:col>2</xdr:col>
      <xdr:colOff>226332</xdr:colOff>
      <xdr:row>3</xdr:row>
      <xdr:rowOff>220235</xdr:rowOff>
    </xdr:to>
    <xdr:pic macro="[0]!MarketDescription">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0"/>
        <a:stretch>
          <a:fillRect/>
        </a:stretch>
      </xdr:blipFill>
      <xdr:spPr>
        <a:xfrm>
          <a:off x="4276725" y="2133600"/>
          <a:ext cx="207282" cy="201185"/>
        </a:xfrm>
        <a:prstGeom prst="rect">
          <a:avLst/>
        </a:prstGeom>
      </xdr:spPr>
    </xdr:pic>
    <xdr:clientData/>
  </xdr:twoCellAnchor>
  <xdr:twoCellAnchor editAs="oneCell">
    <xdr:from>
      <xdr:col>2</xdr:col>
      <xdr:colOff>466725</xdr:colOff>
      <xdr:row>22</xdr:row>
      <xdr:rowOff>47625</xdr:rowOff>
    </xdr:from>
    <xdr:to>
      <xdr:col>2</xdr:col>
      <xdr:colOff>606945</xdr:colOff>
      <xdr:row>22</xdr:row>
      <xdr:rowOff>181749</xdr:rowOff>
    </xdr:to>
    <xdr:pic macro="[0]!Policy">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1"/>
        <a:stretch>
          <a:fillRect/>
        </a:stretch>
      </xdr:blipFill>
      <xdr:spPr>
        <a:xfrm>
          <a:off x="4533900" y="12706350"/>
          <a:ext cx="140220" cy="134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148590</xdr:colOff>
      <xdr:row>0</xdr:row>
      <xdr:rowOff>66675</xdr:rowOff>
    </xdr:from>
    <xdr:to>
      <xdr:col>11</xdr:col>
      <xdr:colOff>408940</xdr:colOff>
      <xdr:row>0</xdr:row>
      <xdr:rowOff>1752177</xdr:rowOff>
    </xdr:to>
    <xdr:grpSp>
      <xdr:nvGrpSpPr>
        <xdr:cNvPr id="41" name="Group 40">
          <a:extLst>
            <a:ext uri="{FF2B5EF4-FFF2-40B4-BE49-F238E27FC236}">
              <a16:creationId xmlns:a16="http://schemas.microsoft.com/office/drawing/2014/main" id="{C0E49F68-FA92-4632-A4FB-5C2DECF4382A}"/>
            </a:ext>
          </a:extLst>
        </xdr:cNvPr>
        <xdr:cNvGrpSpPr/>
      </xdr:nvGrpSpPr>
      <xdr:grpSpPr>
        <a:xfrm>
          <a:off x="148590" y="64770"/>
          <a:ext cx="16460470" cy="1687407"/>
          <a:chOff x="171450" y="91441"/>
          <a:chExt cx="16462375" cy="1683597"/>
        </a:xfrm>
      </xdr:grpSpPr>
      <xdr:pic>
        <xdr:nvPicPr>
          <xdr:cNvPr id="58" name="Picture 57">
            <a:extLst>
              <a:ext uri="{FF2B5EF4-FFF2-40B4-BE49-F238E27FC236}">
                <a16:creationId xmlns:a16="http://schemas.microsoft.com/office/drawing/2014/main" id="{B8E7F81A-AB0E-42B9-A45F-F897BBB1BECF}"/>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9" name="Group 58">
            <a:extLst>
              <a:ext uri="{FF2B5EF4-FFF2-40B4-BE49-F238E27FC236}">
                <a16:creationId xmlns:a16="http://schemas.microsoft.com/office/drawing/2014/main" id="{8287C9C9-6E94-4652-85B3-6F7224410E1A}"/>
              </a:ext>
            </a:extLst>
          </xdr:cNvPr>
          <xdr:cNvGrpSpPr/>
        </xdr:nvGrpSpPr>
        <xdr:grpSpPr>
          <a:xfrm>
            <a:off x="167640" y="95251"/>
            <a:ext cx="16462375" cy="1675977"/>
            <a:chOff x="167640" y="95251"/>
            <a:chExt cx="16462375" cy="1675977"/>
          </a:xfrm>
        </xdr:grpSpPr>
        <xdr:grpSp>
          <xdr:nvGrpSpPr>
            <xdr:cNvPr id="60" name="Group 59">
              <a:extLst>
                <a:ext uri="{FF2B5EF4-FFF2-40B4-BE49-F238E27FC236}">
                  <a16:creationId xmlns:a16="http://schemas.microsoft.com/office/drawing/2014/main" id="{3C7EA4B7-95B8-4E01-ADAD-626085BBC394}"/>
                </a:ext>
              </a:extLst>
            </xdr:cNvPr>
            <xdr:cNvGrpSpPr/>
          </xdr:nvGrpSpPr>
          <xdr:grpSpPr>
            <a:xfrm>
              <a:off x="171450" y="91441"/>
              <a:ext cx="16462375" cy="1683597"/>
              <a:chOff x="171449" y="38100"/>
              <a:chExt cx="16659225" cy="1704975"/>
            </a:xfrm>
          </xdr:grpSpPr>
          <xdr:grpSp>
            <xdr:nvGrpSpPr>
              <xdr:cNvPr id="62" name="Group 61">
                <a:extLst>
                  <a:ext uri="{FF2B5EF4-FFF2-40B4-BE49-F238E27FC236}">
                    <a16:creationId xmlns:a16="http://schemas.microsoft.com/office/drawing/2014/main" id="{2495C79B-3F37-457D-81D5-5339F498A2D2}"/>
                  </a:ext>
                </a:extLst>
              </xdr:cNvPr>
              <xdr:cNvGrpSpPr/>
            </xdr:nvGrpSpPr>
            <xdr:grpSpPr>
              <a:xfrm>
                <a:off x="171449" y="38100"/>
                <a:ext cx="16659225" cy="1704975"/>
                <a:chOff x="171449" y="38100"/>
                <a:chExt cx="16659225" cy="1704975"/>
              </a:xfrm>
            </xdr:grpSpPr>
            <xdr:pic>
              <xdr:nvPicPr>
                <xdr:cNvPr id="65" name="Picture 64" descr="catalisti.be">
                  <a:extLst>
                    <a:ext uri="{FF2B5EF4-FFF2-40B4-BE49-F238E27FC236}">
                      <a16:creationId xmlns:a16="http://schemas.microsoft.com/office/drawing/2014/main" id="{1A58539E-E3B8-4571-AD0B-13B5BE3FDA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6" name="Rectangle 65">
                  <a:extLst>
                    <a:ext uri="{FF2B5EF4-FFF2-40B4-BE49-F238E27FC236}">
                      <a16:creationId xmlns:a16="http://schemas.microsoft.com/office/drawing/2014/main" id="{D7D21DCE-FFA9-4361-9852-A3891C628E2F}"/>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7" name="Rectangle: Rounded Corners 66">
                  <a:extLst>
                    <a:ext uri="{FF2B5EF4-FFF2-40B4-BE49-F238E27FC236}">
                      <a16:creationId xmlns:a16="http://schemas.microsoft.com/office/drawing/2014/main" id="{FB4EE8E5-20D2-4639-99B5-11282CFEC59F}"/>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8" name="Picture 67">
                  <a:extLst>
                    <a:ext uri="{FF2B5EF4-FFF2-40B4-BE49-F238E27FC236}">
                      <a16:creationId xmlns:a16="http://schemas.microsoft.com/office/drawing/2014/main" id="{086B99E6-7F76-4E5F-ACEA-E4DB24C4DC9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9" name="Picture 68">
                  <a:extLst>
                    <a:ext uri="{FF2B5EF4-FFF2-40B4-BE49-F238E27FC236}">
                      <a16:creationId xmlns:a16="http://schemas.microsoft.com/office/drawing/2014/main" id="{A95072DB-AF87-454A-B4DE-AC21225B093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70" name="Picture 69">
                  <a:extLst>
                    <a:ext uri="{FF2B5EF4-FFF2-40B4-BE49-F238E27FC236}">
                      <a16:creationId xmlns:a16="http://schemas.microsoft.com/office/drawing/2014/main" id="{4AE1935A-75A7-465E-98BB-D6B783726E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71" name="Picture 70">
                  <a:extLst>
                    <a:ext uri="{FF2B5EF4-FFF2-40B4-BE49-F238E27FC236}">
                      <a16:creationId xmlns:a16="http://schemas.microsoft.com/office/drawing/2014/main" id="{FBD2DD34-2CC3-4014-AF8C-8E56204C87C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63" name="Picture 62">
                <a:extLst>
                  <a:ext uri="{FF2B5EF4-FFF2-40B4-BE49-F238E27FC236}">
                    <a16:creationId xmlns:a16="http://schemas.microsoft.com/office/drawing/2014/main" id="{14C6CDD5-C214-43A5-A69E-A89C30AC44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4" name="TextBox 63">
                <a:extLst>
                  <a:ext uri="{FF2B5EF4-FFF2-40B4-BE49-F238E27FC236}">
                    <a16:creationId xmlns:a16="http://schemas.microsoft.com/office/drawing/2014/main" id="{0D030DA6-8970-4945-9CC1-BE59773165EA}"/>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61" name="Picture 60">
              <a:extLst>
                <a:ext uri="{FF2B5EF4-FFF2-40B4-BE49-F238E27FC236}">
                  <a16:creationId xmlns:a16="http://schemas.microsoft.com/office/drawing/2014/main" id="{C4430FBA-8C7D-492B-A001-5C6A6BA53F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1011555</xdr:colOff>
      <xdr:row>4</xdr:row>
      <xdr:rowOff>207645</xdr:rowOff>
    </xdr:from>
    <xdr:to>
      <xdr:col>0</xdr:col>
      <xdr:colOff>1621155</xdr:colOff>
      <xdr:row>6</xdr:row>
      <xdr:rowOff>91440</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1007745" y="2478405"/>
          <a:ext cx="609600" cy="664845"/>
          <a:chOff x="13464540" y="68580"/>
          <a:chExt cx="609600" cy="662940"/>
        </a:xfrm>
      </xdr:grpSpPr>
      <xdr:pic macro="[0]!Next_worksheet">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4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361950</xdr:colOff>
      <xdr:row>4</xdr:row>
      <xdr:rowOff>205740</xdr:rowOff>
    </xdr:from>
    <xdr:to>
      <xdr:col>0</xdr:col>
      <xdr:colOff>971550</xdr:colOff>
      <xdr:row>6</xdr:row>
      <xdr:rowOff>95250</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358140" y="2476500"/>
          <a:ext cx="609600" cy="662940"/>
          <a:chOff x="12801600" y="129540"/>
          <a:chExt cx="609600" cy="685800"/>
        </a:xfrm>
      </xdr:grpSpPr>
      <xdr:pic macro="[0]!Previous_worksheet">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4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175259</xdr:colOff>
      <xdr:row>6</xdr:row>
      <xdr:rowOff>283845</xdr:rowOff>
    </xdr:from>
    <xdr:to>
      <xdr:col>0</xdr:col>
      <xdr:colOff>1847849</xdr:colOff>
      <xdr:row>7</xdr:row>
      <xdr:rowOff>243840</xdr:rowOff>
    </xdr:to>
    <xdr:sp macro="[0]!Go_to_ME" textlink="">
      <xdr:nvSpPr>
        <xdr:cNvPr id="17" name="Rounded Rectangle 7" descr="6ecc83db-8c04-4032-af52-1ae482a8fe44">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171449" y="3343275"/>
          <a:ext cx="1685925"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169544</xdr:colOff>
      <xdr:row>7</xdr:row>
      <xdr:rowOff>344805</xdr:rowOff>
    </xdr:from>
    <xdr:to>
      <xdr:col>0</xdr:col>
      <xdr:colOff>1851659</xdr:colOff>
      <xdr:row>9</xdr:row>
      <xdr:rowOff>131445</xdr:rowOff>
    </xdr:to>
    <xdr:sp macro="[0]!Go_to_Economic" textlink="">
      <xdr:nvSpPr>
        <xdr:cNvPr id="18" name="Rounded Rectangle 7" descr="4fe1461a-9bce-4929-ab73-8cfe6f2ca69e">
          <a:hlinkClick xmlns:r="http://schemas.openxmlformats.org/officeDocument/2006/relationships" r:id="rId11"/>
          <a:extLst>
            <a:ext uri="{FF2B5EF4-FFF2-40B4-BE49-F238E27FC236}">
              <a16:creationId xmlns:a16="http://schemas.microsoft.com/office/drawing/2014/main" id="{00000000-0008-0000-0400-000012000000}"/>
            </a:ext>
          </a:extLst>
        </xdr:cNvPr>
        <xdr:cNvSpPr/>
      </xdr:nvSpPr>
      <xdr:spPr>
        <a:xfrm>
          <a:off x="161924" y="3781425"/>
          <a:ext cx="1685925" cy="33718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169544</xdr:colOff>
      <xdr:row>10</xdr:row>
      <xdr:rowOff>93345</xdr:rowOff>
    </xdr:from>
    <xdr:to>
      <xdr:col>0</xdr:col>
      <xdr:colOff>1851659</xdr:colOff>
      <xdr:row>12</xdr:row>
      <xdr:rowOff>129540</xdr:rowOff>
    </xdr:to>
    <xdr:sp macro="[0]!Go_to_Environmental" textlink="">
      <xdr:nvSpPr>
        <xdr:cNvPr id="19" name="Rounded Rectangle 7" descr="46df4f88-12d0-4d08-9a35-fb9d4a7e19e4">
          <a:hlinkClick xmlns:r="http://schemas.openxmlformats.org/officeDocument/2006/relationships" r:id="rId12"/>
          <a:extLst>
            <a:ext uri="{FF2B5EF4-FFF2-40B4-BE49-F238E27FC236}">
              <a16:creationId xmlns:a16="http://schemas.microsoft.com/office/drawing/2014/main" id="{00000000-0008-0000-0400-000013000000}"/>
            </a:ext>
          </a:extLst>
        </xdr:cNvPr>
        <xdr:cNvSpPr/>
      </xdr:nvSpPr>
      <xdr:spPr>
        <a:xfrm>
          <a:off x="161924" y="4229100"/>
          <a:ext cx="1685925"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oneCell">
    <xdr:from>
      <xdr:col>2</xdr:col>
      <xdr:colOff>2040257</xdr:colOff>
      <xdr:row>1</xdr:row>
      <xdr:rowOff>131445</xdr:rowOff>
    </xdr:from>
    <xdr:to>
      <xdr:col>2</xdr:col>
      <xdr:colOff>2171230</xdr:colOff>
      <xdr:row>2</xdr:row>
      <xdr:rowOff>112245</xdr:rowOff>
    </xdr:to>
    <xdr:pic macro="[0]!PathwayDescription">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3"/>
        <a:stretch>
          <a:fillRect/>
        </a:stretch>
      </xdr:blipFill>
      <xdr:spPr>
        <a:xfrm>
          <a:off x="4234817" y="1960245"/>
          <a:ext cx="130973" cy="133200"/>
        </a:xfrm>
        <a:prstGeom prst="rect">
          <a:avLst/>
        </a:prstGeom>
      </xdr:spPr>
    </xdr:pic>
    <xdr:clientData/>
  </xdr:twoCellAnchor>
  <xdr:twoCellAnchor editAs="oneCell">
    <xdr:from>
      <xdr:col>2</xdr:col>
      <xdr:colOff>428627</xdr:colOff>
      <xdr:row>10</xdr:row>
      <xdr:rowOff>139065</xdr:rowOff>
    </xdr:from>
    <xdr:to>
      <xdr:col>2</xdr:col>
      <xdr:colOff>563424</xdr:colOff>
      <xdr:row>11</xdr:row>
      <xdr:rowOff>121980</xdr:rowOff>
    </xdr:to>
    <xdr:pic macro="[0]!Switch_scale">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3"/>
        <a:stretch>
          <a:fillRect/>
        </a:stretch>
      </xdr:blipFill>
      <xdr:spPr>
        <a:xfrm>
          <a:off x="2628902" y="4263390"/>
          <a:ext cx="134797" cy="135315"/>
        </a:xfrm>
        <a:prstGeom prst="rect">
          <a:avLst/>
        </a:prstGeom>
      </xdr:spPr>
    </xdr:pic>
    <xdr:clientData/>
  </xdr:twoCellAnchor>
  <xdr:twoCellAnchor editAs="oneCell">
    <xdr:from>
      <xdr:col>2</xdr:col>
      <xdr:colOff>1306831</xdr:colOff>
      <xdr:row>19</xdr:row>
      <xdr:rowOff>0</xdr:rowOff>
    </xdr:from>
    <xdr:to>
      <xdr:col>2</xdr:col>
      <xdr:colOff>1449811</xdr:colOff>
      <xdr:row>19</xdr:row>
      <xdr:rowOff>129600</xdr:rowOff>
    </xdr:to>
    <xdr:pic macro="[0]!Whatif_Parameters">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3507106" y="5438775"/>
          <a:ext cx="142980" cy="129600"/>
        </a:xfrm>
        <a:prstGeom prst="rect">
          <a:avLst/>
        </a:prstGeom>
      </xdr:spPr>
    </xdr:pic>
    <xdr:clientData/>
  </xdr:twoCellAnchor>
  <xdr:twoCellAnchor editAs="oneCell">
    <xdr:from>
      <xdr:col>0</xdr:col>
      <xdr:colOff>428625</xdr:colOff>
      <xdr:row>47</xdr:row>
      <xdr:rowOff>66675</xdr:rowOff>
    </xdr:from>
    <xdr:to>
      <xdr:col>0</xdr:col>
      <xdr:colOff>1335405</xdr:colOff>
      <xdr:row>52</xdr:row>
      <xdr:rowOff>95250</xdr:rowOff>
    </xdr:to>
    <xdr:grpSp>
      <xdr:nvGrpSpPr>
        <xdr:cNvPr id="24" name="Group 23">
          <a:extLst>
            <a:ext uri="{FF2B5EF4-FFF2-40B4-BE49-F238E27FC236}">
              <a16:creationId xmlns:a16="http://schemas.microsoft.com/office/drawing/2014/main" id="{00000000-0008-0000-0400-000018000000}"/>
            </a:ext>
          </a:extLst>
        </xdr:cNvPr>
        <xdr:cNvGrpSpPr/>
      </xdr:nvGrpSpPr>
      <xdr:grpSpPr>
        <a:xfrm>
          <a:off x="430530" y="9542145"/>
          <a:ext cx="904875" cy="741045"/>
          <a:chOff x="12771120" y="8145780"/>
          <a:chExt cx="906780" cy="739140"/>
        </a:xfrm>
      </xdr:grpSpPr>
      <xdr:pic macro="[0]!Top_of_page">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6" name="TextBox 25">
            <a:extLst>
              <a:ext uri="{FF2B5EF4-FFF2-40B4-BE49-F238E27FC236}">
                <a16:creationId xmlns:a16="http://schemas.microsoft.com/office/drawing/2014/main" id="{00000000-0008-0000-0400-00001A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38099</xdr:colOff>
      <xdr:row>3</xdr:row>
      <xdr:rowOff>131443</xdr:rowOff>
    </xdr:from>
    <xdr:to>
      <xdr:col>2</xdr:col>
      <xdr:colOff>179888</xdr:colOff>
      <xdr:row>4</xdr:row>
      <xdr:rowOff>118168</xdr:rowOff>
    </xdr:to>
    <xdr:pic macro="[0]!Pathways">
      <xdr:nvPicPr>
        <xdr:cNvPr id="40" name="Picture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3"/>
        <a:stretch>
          <a:fillRect/>
        </a:stretch>
      </xdr:blipFill>
      <xdr:spPr>
        <a:xfrm>
          <a:off x="2238374" y="2255518"/>
          <a:ext cx="141789" cy="129600"/>
        </a:xfrm>
        <a:prstGeom prst="rect">
          <a:avLst/>
        </a:prstGeom>
      </xdr:spPr>
    </xdr:pic>
    <xdr:clientData/>
  </xdr:twoCellAnchor>
  <xdr:twoCellAnchor editAs="oneCell">
    <xdr:from>
      <xdr:col>0</xdr:col>
      <xdr:colOff>542925</xdr:colOff>
      <xdr:row>82</xdr:row>
      <xdr:rowOff>504825</xdr:rowOff>
    </xdr:from>
    <xdr:to>
      <xdr:col>0</xdr:col>
      <xdr:colOff>1449705</xdr:colOff>
      <xdr:row>84</xdr:row>
      <xdr:rowOff>19050</xdr:rowOff>
    </xdr:to>
    <xdr:grpSp>
      <xdr:nvGrpSpPr>
        <xdr:cNvPr id="34" name="Group 33">
          <a:extLst>
            <a:ext uri="{FF2B5EF4-FFF2-40B4-BE49-F238E27FC236}">
              <a16:creationId xmlns:a16="http://schemas.microsoft.com/office/drawing/2014/main" id="{7A1A4498-DC80-4416-A338-4F719CBB9A26}"/>
            </a:ext>
          </a:extLst>
        </xdr:cNvPr>
        <xdr:cNvGrpSpPr/>
      </xdr:nvGrpSpPr>
      <xdr:grpSpPr>
        <a:xfrm>
          <a:off x="544830" y="18823305"/>
          <a:ext cx="904875" cy="737235"/>
          <a:chOff x="12771120" y="8145780"/>
          <a:chExt cx="906780" cy="739140"/>
        </a:xfrm>
      </xdr:grpSpPr>
      <xdr:pic macro="[0]!Top_of_page">
        <xdr:nvPicPr>
          <xdr:cNvPr id="35" name="Picture 34">
            <a:extLst>
              <a:ext uri="{FF2B5EF4-FFF2-40B4-BE49-F238E27FC236}">
                <a16:creationId xmlns:a16="http://schemas.microsoft.com/office/drawing/2014/main" id="{5EFF6DEC-C7FA-47C2-AAC2-1CD33579C4B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58733412-808D-4D3E-832F-51BDE137D4B5}"/>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absolute">
    <xdr:from>
      <xdr:col>0</xdr:col>
      <xdr:colOff>175259</xdr:colOff>
      <xdr:row>17</xdr:row>
      <xdr:rowOff>53340</xdr:rowOff>
    </xdr:from>
    <xdr:to>
      <xdr:col>0</xdr:col>
      <xdr:colOff>1809749</xdr:colOff>
      <xdr:row>19</xdr:row>
      <xdr:rowOff>91440</xdr:rowOff>
    </xdr:to>
    <xdr:sp macro="[0]!Go_to_summary" textlink="">
      <xdr:nvSpPr>
        <xdr:cNvPr id="37" name="Rounded Rectangle 25" descr="ac3c7c92-2a90-4d25-bd12-79ddda582cc2">
          <a:hlinkClick xmlns:r="http://schemas.openxmlformats.org/officeDocument/2006/relationships" r:id="rId14"/>
          <a:extLst>
            <a:ext uri="{FF2B5EF4-FFF2-40B4-BE49-F238E27FC236}">
              <a16:creationId xmlns:a16="http://schemas.microsoft.com/office/drawing/2014/main" id="{1EAFA42E-EBB4-4400-B2A1-1C702576B576}"/>
            </a:ext>
          </a:extLst>
        </xdr:cNvPr>
        <xdr:cNvSpPr/>
      </xdr:nvSpPr>
      <xdr:spPr>
        <a:xfrm>
          <a:off x="171449" y="53530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absolute">
    <xdr:from>
      <xdr:col>0</xdr:col>
      <xdr:colOff>171450</xdr:colOff>
      <xdr:row>20</xdr:row>
      <xdr:rowOff>95250</xdr:rowOff>
    </xdr:from>
    <xdr:to>
      <xdr:col>0</xdr:col>
      <xdr:colOff>1805940</xdr:colOff>
      <xdr:row>22</xdr:row>
      <xdr:rowOff>93345</xdr:rowOff>
    </xdr:to>
    <xdr:sp macro="" textlink="">
      <xdr:nvSpPr>
        <xdr:cNvPr id="38" name="Rounded Rectangle 25" descr="03fa3064-bfd9-42f8-aca3-1d3bfe74c587">
          <a:hlinkClick xmlns:r="http://schemas.openxmlformats.org/officeDocument/2006/relationships" r:id="rId15"/>
          <a:extLst>
            <a:ext uri="{FF2B5EF4-FFF2-40B4-BE49-F238E27FC236}">
              <a16:creationId xmlns:a16="http://schemas.microsoft.com/office/drawing/2014/main" id="{AD0BEEB8-4CC0-45D1-B861-9EBECDB51C5B}"/>
            </a:ext>
          </a:extLst>
        </xdr:cNvPr>
        <xdr:cNvSpPr/>
      </xdr:nvSpPr>
      <xdr:spPr>
        <a:xfrm>
          <a:off x="161925" y="58197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171450</xdr:colOff>
      <xdr:row>23</xdr:row>
      <xdr:rowOff>91440</xdr:rowOff>
    </xdr:from>
    <xdr:to>
      <xdr:col>0</xdr:col>
      <xdr:colOff>1805940</xdr:colOff>
      <xdr:row>25</xdr:row>
      <xdr:rowOff>135255</xdr:rowOff>
    </xdr:to>
    <xdr:sp macro="" textlink="">
      <xdr:nvSpPr>
        <xdr:cNvPr id="39" name="Rounded Rectangle 25" descr="191f8870-d43e-45fd-b288-4910e1f6a41b">
          <a:hlinkClick xmlns:r="http://schemas.openxmlformats.org/officeDocument/2006/relationships" r:id="rId16"/>
          <a:extLst>
            <a:ext uri="{FF2B5EF4-FFF2-40B4-BE49-F238E27FC236}">
              <a16:creationId xmlns:a16="http://schemas.microsoft.com/office/drawing/2014/main" id="{D5D9E0DA-1FE7-44AC-8051-8CB06E344CA8}"/>
            </a:ext>
          </a:extLst>
        </xdr:cNvPr>
        <xdr:cNvSpPr/>
      </xdr:nvSpPr>
      <xdr:spPr>
        <a:xfrm>
          <a:off x="161925" y="62769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171450</xdr:colOff>
      <xdr:row>26</xdr:row>
      <xdr:rowOff>91440</xdr:rowOff>
    </xdr:from>
    <xdr:to>
      <xdr:col>0</xdr:col>
      <xdr:colOff>1805940</xdr:colOff>
      <xdr:row>29</xdr:row>
      <xdr:rowOff>0</xdr:rowOff>
    </xdr:to>
    <xdr:sp macro="" textlink="">
      <xdr:nvSpPr>
        <xdr:cNvPr id="56" name="Rounded Rectangle 25" descr="f764264e-44c6-429d-bcf1-d7358a165c38">
          <a:hlinkClick xmlns:r="http://schemas.openxmlformats.org/officeDocument/2006/relationships" r:id="rId17"/>
          <a:extLst>
            <a:ext uri="{FF2B5EF4-FFF2-40B4-BE49-F238E27FC236}">
              <a16:creationId xmlns:a16="http://schemas.microsoft.com/office/drawing/2014/main" id="{C6DD20D9-5BFF-4DCA-B588-FB6030577800}"/>
            </a:ext>
          </a:extLst>
        </xdr:cNvPr>
        <xdr:cNvSpPr/>
      </xdr:nvSpPr>
      <xdr:spPr>
        <a:xfrm>
          <a:off x="161925" y="67246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oneCellAnchor>
    <xdr:from>
      <xdr:col>2</xdr:col>
      <xdr:colOff>1541145</xdr:colOff>
      <xdr:row>26</xdr:row>
      <xdr:rowOff>15240</xdr:rowOff>
    </xdr:from>
    <xdr:ext cx="137391" cy="133350"/>
    <xdr:pic macro="[0]!Switch_Results">
      <xdr:nvPicPr>
        <xdr:cNvPr id="57" name="Picture 56">
          <a:extLst>
            <a:ext uri="{FF2B5EF4-FFF2-40B4-BE49-F238E27FC236}">
              <a16:creationId xmlns:a16="http://schemas.microsoft.com/office/drawing/2014/main" id="{74F75D0C-2257-46B1-80FC-0F21DB9E6B54}"/>
            </a:ext>
          </a:extLst>
        </xdr:cNvPr>
        <xdr:cNvPicPr>
          <a:picLocks noChangeAspect="1"/>
        </xdr:cNvPicPr>
      </xdr:nvPicPr>
      <xdr:blipFill>
        <a:blip xmlns:r="http://schemas.openxmlformats.org/officeDocument/2006/relationships" r:embed="rId13"/>
        <a:stretch>
          <a:fillRect/>
        </a:stretch>
      </xdr:blipFill>
      <xdr:spPr>
        <a:xfrm>
          <a:off x="3741420" y="6492240"/>
          <a:ext cx="137391" cy="133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272415</xdr:colOff>
      <xdr:row>0</xdr:row>
      <xdr:rowOff>87630</xdr:rowOff>
    </xdr:from>
    <xdr:to>
      <xdr:col>10</xdr:col>
      <xdr:colOff>1325245</xdr:colOff>
      <xdr:row>0</xdr:row>
      <xdr:rowOff>1765512</xdr:rowOff>
    </xdr:to>
    <xdr:grpSp>
      <xdr:nvGrpSpPr>
        <xdr:cNvPr id="70" name="Group 69">
          <a:extLst>
            <a:ext uri="{FF2B5EF4-FFF2-40B4-BE49-F238E27FC236}">
              <a16:creationId xmlns:a16="http://schemas.microsoft.com/office/drawing/2014/main" id="{88834499-5D25-4877-A3BE-CBD992E19F5B}"/>
            </a:ext>
          </a:extLst>
        </xdr:cNvPr>
        <xdr:cNvGrpSpPr/>
      </xdr:nvGrpSpPr>
      <xdr:grpSpPr>
        <a:xfrm>
          <a:off x="274320" y="91440"/>
          <a:ext cx="16469995" cy="1677882"/>
          <a:chOff x="171450" y="91441"/>
          <a:chExt cx="16462375" cy="1683597"/>
        </a:xfrm>
      </xdr:grpSpPr>
      <xdr:pic>
        <xdr:nvPicPr>
          <xdr:cNvPr id="71" name="Picture 70">
            <a:extLst>
              <a:ext uri="{FF2B5EF4-FFF2-40B4-BE49-F238E27FC236}">
                <a16:creationId xmlns:a16="http://schemas.microsoft.com/office/drawing/2014/main" id="{60960AA2-D46C-4006-A0E0-20E492299078}"/>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72" name="Group 71">
            <a:extLst>
              <a:ext uri="{FF2B5EF4-FFF2-40B4-BE49-F238E27FC236}">
                <a16:creationId xmlns:a16="http://schemas.microsoft.com/office/drawing/2014/main" id="{8FDD606E-B21F-4F15-9919-4C9CC033B392}"/>
              </a:ext>
            </a:extLst>
          </xdr:cNvPr>
          <xdr:cNvGrpSpPr/>
        </xdr:nvGrpSpPr>
        <xdr:grpSpPr>
          <a:xfrm>
            <a:off x="167640" y="95251"/>
            <a:ext cx="16462375" cy="1675977"/>
            <a:chOff x="167640" y="95251"/>
            <a:chExt cx="16462375" cy="1675977"/>
          </a:xfrm>
        </xdr:grpSpPr>
        <xdr:grpSp>
          <xdr:nvGrpSpPr>
            <xdr:cNvPr id="73" name="Group 72">
              <a:extLst>
                <a:ext uri="{FF2B5EF4-FFF2-40B4-BE49-F238E27FC236}">
                  <a16:creationId xmlns:a16="http://schemas.microsoft.com/office/drawing/2014/main" id="{4D2C25EF-A6FD-48FF-92CB-76EC9E931030}"/>
                </a:ext>
              </a:extLst>
            </xdr:cNvPr>
            <xdr:cNvGrpSpPr/>
          </xdr:nvGrpSpPr>
          <xdr:grpSpPr>
            <a:xfrm>
              <a:off x="171450" y="91441"/>
              <a:ext cx="16462375" cy="1683597"/>
              <a:chOff x="171449" y="38100"/>
              <a:chExt cx="16659225" cy="1704975"/>
            </a:xfrm>
          </xdr:grpSpPr>
          <xdr:grpSp>
            <xdr:nvGrpSpPr>
              <xdr:cNvPr id="75" name="Group 74">
                <a:extLst>
                  <a:ext uri="{FF2B5EF4-FFF2-40B4-BE49-F238E27FC236}">
                    <a16:creationId xmlns:a16="http://schemas.microsoft.com/office/drawing/2014/main" id="{6099A556-7C18-4220-A0D0-D50FF4084B6E}"/>
                  </a:ext>
                </a:extLst>
              </xdr:cNvPr>
              <xdr:cNvGrpSpPr/>
            </xdr:nvGrpSpPr>
            <xdr:grpSpPr>
              <a:xfrm>
                <a:off x="171449" y="38100"/>
                <a:ext cx="16659225" cy="1704975"/>
                <a:chOff x="171449" y="38100"/>
                <a:chExt cx="16659225" cy="1704975"/>
              </a:xfrm>
            </xdr:grpSpPr>
            <xdr:pic>
              <xdr:nvPicPr>
                <xdr:cNvPr id="78" name="Picture 77" descr="catalisti.be">
                  <a:extLst>
                    <a:ext uri="{FF2B5EF4-FFF2-40B4-BE49-F238E27FC236}">
                      <a16:creationId xmlns:a16="http://schemas.microsoft.com/office/drawing/2014/main" id="{947E0040-B5FE-4764-9222-3457BC0A2C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9" name="Rectangle 78">
                  <a:extLst>
                    <a:ext uri="{FF2B5EF4-FFF2-40B4-BE49-F238E27FC236}">
                      <a16:creationId xmlns:a16="http://schemas.microsoft.com/office/drawing/2014/main" id="{97BF1461-3668-4BA4-97DD-BE8288EC25DB}"/>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80" name="Rectangle: Rounded Corners 79">
                  <a:extLst>
                    <a:ext uri="{FF2B5EF4-FFF2-40B4-BE49-F238E27FC236}">
                      <a16:creationId xmlns:a16="http://schemas.microsoft.com/office/drawing/2014/main" id="{22CC22D4-6A6D-4635-B44C-7A8ED31AB779}"/>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81" name="Picture 80">
                  <a:extLst>
                    <a:ext uri="{FF2B5EF4-FFF2-40B4-BE49-F238E27FC236}">
                      <a16:creationId xmlns:a16="http://schemas.microsoft.com/office/drawing/2014/main" id="{6FD7546A-A607-4547-A74D-6311281CC5F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82" name="Picture 81">
                  <a:extLst>
                    <a:ext uri="{FF2B5EF4-FFF2-40B4-BE49-F238E27FC236}">
                      <a16:creationId xmlns:a16="http://schemas.microsoft.com/office/drawing/2014/main" id="{9F57F1BE-925A-486A-B6BC-5B18AFF3529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83" name="Picture 82">
                  <a:extLst>
                    <a:ext uri="{FF2B5EF4-FFF2-40B4-BE49-F238E27FC236}">
                      <a16:creationId xmlns:a16="http://schemas.microsoft.com/office/drawing/2014/main" id="{748489AE-DA28-4C7A-9AD2-7E2A16CF4B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4" name="Picture 83">
                  <a:extLst>
                    <a:ext uri="{FF2B5EF4-FFF2-40B4-BE49-F238E27FC236}">
                      <a16:creationId xmlns:a16="http://schemas.microsoft.com/office/drawing/2014/main" id="{7E059F99-8216-4EC7-8A0D-5E281DD65A1F}"/>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6" name="Picture 75">
                <a:extLst>
                  <a:ext uri="{FF2B5EF4-FFF2-40B4-BE49-F238E27FC236}">
                    <a16:creationId xmlns:a16="http://schemas.microsoft.com/office/drawing/2014/main" id="{B42DC7A6-B04F-48DD-99A1-69225F3DCD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77" name="TextBox 76">
                <a:extLst>
                  <a:ext uri="{FF2B5EF4-FFF2-40B4-BE49-F238E27FC236}">
                    <a16:creationId xmlns:a16="http://schemas.microsoft.com/office/drawing/2014/main" id="{FD34C3C2-9B9A-42F5-937A-01DB6CDFE50A}"/>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4" name="Picture 73">
              <a:extLst>
                <a:ext uri="{FF2B5EF4-FFF2-40B4-BE49-F238E27FC236}">
                  <a16:creationId xmlns:a16="http://schemas.microsoft.com/office/drawing/2014/main" id="{E404E37A-9E33-4F75-8F7A-D5C02A0A15C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104775</xdr:rowOff>
    </xdr:from>
    <xdr:to>
      <xdr:col>0</xdr:col>
      <xdr:colOff>962025</xdr:colOff>
      <xdr:row>9</xdr:row>
      <xdr:rowOff>62865</xdr:rowOff>
    </xdr:to>
    <xdr:grpSp>
      <xdr:nvGrpSpPr>
        <xdr:cNvPr id="47" name="Group 46">
          <a:extLst>
            <a:ext uri="{FF2B5EF4-FFF2-40B4-BE49-F238E27FC236}">
              <a16:creationId xmlns:a16="http://schemas.microsoft.com/office/drawing/2014/main" id="{5821E0C4-C281-41BD-8B1E-1DF01566E98F}"/>
            </a:ext>
          </a:extLst>
        </xdr:cNvPr>
        <xdr:cNvGrpSpPr/>
      </xdr:nvGrpSpPr>
      <xdr:grpSpPr>
        <a:xfrm>
          <a:off x="354330" y="2465070"/>
          <a:ext cx="609600" cy="670560"/>
          <a:chOff x="12801600" y="129540"/>
          <a:chExt cx="609600" cy="685800"/>
        </a:xfrm>
      </xdr:grpSpPr>
      <xdr:pic macro="[0]!Previous_worksheet">
        <xdr:nvPicPr>
          <xdr:cNvPr id="68" name="Picture 67">
            <a:extLst>
              <a:ext uri="{FF2B5EF4-FFF2-40B4-BE49-F238E27FC236}">
                <a16:creationId xmlns:a16="http://schemas.microsoft.com/office/drawing/2014/main" id="{CD2F1AEA-C63F-4EA1-8E75-366EB2B9F2B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69" name="TextBox 68">
            <a:extLst>
              <a:ext uri="{FF2B5EF4-FFF2-40B4-BE49-F238E27FC236}">
                <a16:creationId xmlns:a16="http://schemas.microsoft.com/office/drawing/2014/main" id="{37E1AA6F-D4D5-4C4E-BF8A-4788FF26C478}"/>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1019175</xdr:colOff>
      <xdr:row>4</xdr:row>
      <xdr:rowOff>123825</xdr:rowOff>
    </xdr:from>
    <xdr:to>
      <xdr:col>0</xdr:col>
      <xdr:colOff>1628775</xdr:colOff>
      <xdr:row>9</xdr:row>
      <xdr:rowOff>62865</xdr:rowOff>
    </xdr:to>
    <xdr:grpSp>
      <xdr:nvGrpSpPr>
        <xdr:cNvPr id="44" name="Group 43">
          <a:extLst>
            <a:ext uri="{FF2B5EF4-FFF2-40B4-BE49-F238E27FC236}">
              <a16:creationId xmlns:a16="http://schemas.microsoft.com/office/drawing/2014/main" id="{78960EE3-4DAC-4AC3-9209-526DDDDB24D1}"/>
            </a:ext>
          </a:extLst>
        </xdr:cNvPr>
        <xdr:cNvGrpSpPr/>
      </xdr:nvGrpSpPr>
      <xdr:grpSpPr>
        <a:xfrm>
          <a:off x="1017270" y="2487930"/>
          <a:ext cx="609600" cy="647700"/>
          <a:chOff x="13464540" y="68580"/>
          <a:chExt cx="609600" cy="662940"/>
        </a:xfrm>
      </xdr:grpSpPr>
      <xdr:pic macro="[0]!Next_worksheet">
        <xdr:nvPicPr>
          <xdr:cNvPr id="45" name="Picture 44">
            <a:extLst>
              <a:ext uri="{FF2B5EF4-FFF2-40B4-BE49-F238E27FC236}">
                <a16:creationId xmlns:a16="http://schemas.microsoft.com/office/drawing/2014/main" id="{346E5C18-3420-466D-9DF9-CE2F56E1C3A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6" name="TextBox 45">
            <a:extLst>
              <a:ext uri="{FF2B5EF4-FFF2-40B4-BE49-F238E27FC236}">
                <a16:creationId xmlns:a16="http://schemas.microsoft.com/office/drawing/2014/main" id="{7D8E2559-88C3-4DA8-814B-010B94D7891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428625</xdr:colOff>
      <xdr:row>137</xdr:row>
      <xdr:rowOff>85725</xdr:rowOff>
    </xdr:from>
    <xdr:to>
      <xdr:col>0</xdr:col>
      <xdr:colOff>1335405</xdr:colOff>
      <xdr:row>142</xdr:row>
      <xdr:rowOff>100965</xdr:rowOff>
    </xdr:to>
    <xdr:grpSp>
      <xdr:nvGrpSpPr>
        <xdr:cNvPr id="26" name="Group 25">
          <a:extLst>
            <a:ext uri="{FF2B5EF4-FFF2-40B4-BE49-F238E27FC236}">
              <a16:creationId xmlns:a16="http://schemas.microsoft.com/office/drawing/2014/main" id="{00000000-0008-0000-0500-00001A000000}"/>
            </a:ext>
          </a:extLst>
        </xdr:cNvPr>
        <xdr:cNvGrpSpPr/>
      </xdr:nvGrpSpPr>
      <xdr:grpSpPr>
        <a:xfrm>
          <a:off x="430530" y="21585555"/>
          <a:ext cx="904875" cy="723900"/>
          <a:chOff x="12771120" y="8145780"/>
          <a:chExt cx="906780" cy="739140"/>
        </a:xfrm>
      </xdr:grpSpPr>
      <xdr:pic macro="[0]!Top_of_page">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8" name="TextBox 27">
            <a:extLst>
              <a:ext uri="{FF2B5EF4-FFF2-40B4-BE49-F238E27FC236}">
                <a16:creationId xmlns:a16="http://schemas.microsoft.com/office/drawing/2014/main" id="{00000000-0008-0000-0500-00001C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809625</xdr:colOff>
      <xdr:row>2</xdr:row>
      <xdr:rowOff>133350</xdr:rowOff>
    </xdr:from>
    <xdr:to>
      <xdr:col>2</xdr:col>
      <xdr:colOff>1016907</xdr:colOff>
      <xdr:row>3</xdr:row>
      <xdr:rowOff>191660</xdr:rowOff>
    </xdr:to>
    <xdr:pic macro="[0]!Data_Technical">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0"/>
        <a:stretch>
          <a:fillRect/>
        </a:stretch>
      </xdr:blipFill>
      <xdr:spPr>
        <a:xfrm>
          <a:off x="4905375" y="2105025"/>
          <a:ext cx="207282" cy="201185"/>
        </a:xfrm>
        <a:prstGeom prst="rect">
          <a:avLst/>
        </a:prstGeom>
      </xdr:spPr>
    </xdr:pic>
    <xdr:clientData/>
  </xdr:twoCellAnchor>
  <xdr:twoCellAnchor editAs="oneCell">
    <xdr:from>
      <xdr:col>4</xdr:col>
      <xdr:colOff>695325</xdr:colOff>
      <xdr:row>7</xdr:row>
      <xdr:rowOff>9526</xdr:rowOff>
    </xdr:from>
    <xdr:to>
      <xdr:col>4</xdr:col>
      <xdr:colOff>832716</xdr:colOff>
      <xdr:row>8</xdr:row>
      <xdr:rowOff>1</xdr:rowOff>
    </xdr:to>
    <xdr:pic macro="[0]!Unit">
      <xdr:nvPicPr>
        <xdr:cNvPr id="30" name="Picture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10"/>
        <a:stretch>
          <a:fillRect/>
        </a:stretch>
      </xdr:blipFill>
      <xdr:spPr>
        <a:xfrm>
          <a:off x="8553450" y="3800476"/>
          <a:ext cx="137391" cy="133350"/>
        </a:xfrm>
        <a:prstGeom prst="rect">
          <a:avLst/>
        </a:prstGeom>
      </xdr:spPr>
    </xdr:pic>
    <xdr:clientData/>
  </xdr:twoCellAnchor>
  <xdr:twoCellAnchor editAs="oneCell">
    <xdr:from>
      <xdr:col>5</xdr:col>
      <xdr:colOff>1083734</xdr:colOff>
      <xdr:row>7</xdr:row>
      <xdr:rowOff>9526</xdr:rowOff>
    </xdr:from>
    <xdr:to>
      <xdr:col>5</xdr:col>
      <xdr:colOff>1221125</xdr:colOff>
      <xdr:row>8</xdr:row>
      <xdr:rowOff>1</xdr:rowOff>
    </xdr:to>
    <xdr:pic macro="[0]!Indicative_value">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0"/>
        <a:stretch>
          <a:fillRect/>
        </a:stretch>
      </xdr:blipFill>
      <xdr:spPr>
        <a:xfrm>
          <a:off x="10219267" y="2811993"/>
          <a:ext cx="137391" cy="134408"/>
        </a:xfrm>
        <a:prstGeom prst="rect">
          <a:avLst/>
        </a:prstGeom>
      </xdr:spPr>
    </xdr:pic>
    <xdr:clientData/>
  </xdr:twoCellAnchor>
  <xdr:twoCellAnchor editAs="oneCell">
    <xdr:from>
      <xdr:col>6</xdr:col>
      <xdr:colOff>733425</xdr:colOff>
      <xdr:row>7</xdr:row>
      <xdr:rowOff>9525</xdr:rowOff>
    </xdr:from>
    <xdr:to>
      <xdr:col>6</xdr:col>
      <xdr:colOff>870816</xdr:colOff>
      <xdr:row>8</xdr:row>
      <xdr:rowOff>0</xdr:rowOff>
    </xdr:to>
    <xdr:pic macro="[0]!Parameterrange">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0"/>
        <a:stretch>
          <a:fillRect/>
        </a:stretch>
      </xdr:blipFill>
      <xdr:spPr>
        <a:xfrm>
          <a:off x="11020425" y="3800475"/>
          <a:ext cx="137391" cy="133350"/>
        </a:xfrm>
        <a:prstGeom prst="rect">
          <a:avLst/>
        </a:prstGeom>
      </xdr:spPr>
    </xdr:pic>
    <xdr:clientData/>
  </xdr:twoCellAnchor>
  <xdr:twoCellAnchor editAs="oneCell">
    <xdr:from>
      <xdr:col>1</xdr:col>
      <xdr:colOff>104774</xdr:colOff>
      <xdr:row>7</xdr:row>
      <xdr:rowOff>0</xdr:rowOff>
    </xdr:from>
    <xdr:to>
      <xdr:col>1</xdr:col>
      <xdr:colOff>242012</xdr:colOff>
      <xdr:row>7</xdr:row>
      <xdr:rowOff>133200</xdr:rowOff>
    </xdr:to>
    <xdr:pic macro="[0]!Process">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0"/>
        <a:stretch>
          <a:fillRect/>
        </a:stretch>
      </xdr:blipFill>
      <xdr:spPr>
        <a:xfrm>
          <a:off x="2152649" y="2790825"/>
          <a:ext cx="137238" cy="133200"/>
        </a:xfrm>
        <a:prstGeom prst="rect">
          <a:avLst/>
        </a:prstGeom>
      </xdr:spPr>
    </xdr:pic>
    <xdr:clientData/>
  </xdr:twoCellAnchor>
  <xdr:twoCellAnchor editAs="oneCell">
    <xdr:from>
      <xdr:col>8</xdr:col>
      <xdr:colOff>95250</xdr:colOff>
      <xdr:row>5</xdr:row>
      <xdr:rowOff>114300</xdr:rowOff>
    </xdr:from>
    <xdr:to>
      <xdr:col>8</xdr:col>
      <xdr:colOff>232641</xdr:colOff>
      <xdr:row>6</xdr:row>
      <xdr:rowOff>104775</xdr:rowOff>
    </xdr:to>
    <xdr:pic macro="[0]!Pathwayvalues">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10"/>
        <a:stretch>
          <a:fillRect/>
        </a:stretch>
      </xdr:blipFill>
      <xdr:spPr>
        <a:xfrm>
          <a:off x="11763375" y="3619500"/>
          <a:ext cx="137391" cy="133350"/>
        </a:xfrm>
        <a:prstGeom prst="rect">
          <a:avLst/>
        </a:prstGeom>
      </xdr:spPr>
    </xdr:pic>
    <xdr:clientData/>
  </xdr:twoCellAnchor>
  <xdr:twoCellAnchor editAs="absolute">
    <xdr:from>
      <xdr:col>0</xdr:col>
      <xdr:colOff>180974</xdr:colOff>
      <xdr:row>10</xdr:row>
      <xdr:rowOff>0</xdr:rowOff>
    </xdr:from>
    <xdr:to>
      <xdr:col>0</xdr:col>
      <xdr:colOff>1828799</xdr:colOff>
      <xdr:row>12</xdr:row>
      <xdr:rowOff>43815</xdr:rowOff>
    </xdr:to>
    <xdr:sp macro="[0]!Go_to_summary" textlink="">
      <xdr:nvSpPr>
        <xdr:cNvPr id="48" name="Rounded Rectangle 25" descr="3272da64-a748-4937-b2a9-e68a1649bff6">
          <a:hlinkClick xmlns:r="http://schemas.openxmlformats.org/officeDocument/2006/relationships" r:id="rId11"/>
          <a:extLst>
            <a:ext uri="{FF2B5EF4-FFF2-40B4-BE49-F238E27FC236}">
              <a16:creationId xmlns:a16="http://schemas.microsoft.com/office/drawing/2014/main" id="{00000000-0008-0000-0500-000030000000}"/>
            </a:ext>
          </a:extLst>
        </xdr:cNvPr>
        <xdr:cNvSpPr/>
      </xdr:nvSpPr>
      <xdr:spPr>
        <a:xfrm>
          <a:off x="180974" y="32194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oneCell">
    <xdr:from>
      <xdr:col>7</xdr:col>
      <xdr:colOff>771525</xdr:colOff>
      <xdr:row>7</xdr:row>
      <xdr:rowOff>9525</xdr:rowOff>
    </xdr:from>
    <xdr:to>
      <xdr:col>7</xdr:col>
      <xdr:colOff>905649</xdr:colOff>
      <xdr:row>8</xdr:row>
      <xdr:rowOff>774</xdr:rowOff>
    </xdr:to>
    <xdr:pic macro="[0]!Data_type">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2"/>
        <a:stretch>
          <a:fillRect/>
        </a:stretch>
      </xdr:blipFill>
      <xdr:spPr>
        <a:xfrm>
          <a:off x="12087225" y="3800475"/>
          <a:ext cx="134124" cy="134124"/>
        </a:xfrm>
        <a:prstGeom prst="rect">
          <a:avLst/>
        </a:prstGeom>
      </xdr:spPr>
    </xdr:pic>
    <xdr:clientData/>
  </xdr:twoCellAnchor>
  <xdr:twoCellAnchor editAs="oneCell">
    <xdr:from>
      <xdr:col>1</xdr:col>
      <xdr:colOff>114300</xdr:colOff>
      <xdr:row>91</xdr:row>
      <xdr:rowOff>95250</xdr:rowOff>
    </xdr:from>
    <xdr:to>
      <xdr:col>1</xdr:col>
      <xdr:colOff>711760</xdr:colOff>
      <xdr:row>95</xdr:row>
      <xdr:rowOff>90727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3">
          <a:duotone>
            <a:schemeClr val="accent5">
              <a:shade val="45000"/>
              <a:satMod val="135000"/>
            </a:schemeClr>
            <a:prstClr val="white"/>
          </a:duotone>
          <a:alphaModFix amt="92000"/>
        </a:blip>
        <a:stretch>
          <a:fillRect/>
        </a:stretch>
      </xdr:blipFill>
      <xdr:spPr>
        <a:xfrm>
          <a:off x="2162175" y="16202025"/>
          <a:ext cx="597460" cy="566977"/>
        </a:xfrm>
        <a:prstGeom prst="rect">
          <a:avLst/>
        </a:prstGeom>
      </xdr:spPr>
    </xdr:pic>
    <xdr:clientData/>
  </xdr:twoCellAnchor>
  <xdr:twoCellAnchor editAs="oneCell">
    <xdr:from>
      <xdr:col>1</xdr:col>
      <xdr:colOff>152400</xdr:colOff>
      <xdr:row>27</xdr:row>
      <xdr:rowOff>95250</xdr:rowOff>
    </xdr:from>
    <xdr:to>
      <xdr:col>1</xdr:col>
      <xdr:colOff>737667</xdr:colOff>
      <xdr:row>31</xdr:row>
      <xdr:rowOff>54148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alphaModFix amt="92000"/>
        </a:blip>
        <a:stretch>
          <a:fillRect/>
        </a:stretch>
      </xdr:blipFill>
      <xdr:spPr>
        <a:xfrm>
          <a:off x="2200275" y="5457825"/>
          <a:ext cx="585267" cy="530398"/>
        </a:xfrm>
        <a:prstGeom prst="rect">
          <a:avLst/>
        </a:prstGeom>
      </xdr:spPr>
    </xdr:pic>
    <xdr:clientData/>
  </xdr:twoCellAnchor>
  <xdr:twoCellAnchor editAs="oneCell">
    <xdr:from>
      <xdr:col>1</xdr:col>
      <xdr:colOff>104775</xdr:colOff>
      <xdr:row>38</xdr:row>
      <xdr:rowOff>76200</xdr:rowOff>
    </xdr:from>
    <xdr:to>
      <xdr:col>1</xdr:col>
      <xdr:colOff>915613</xdr:colOff>
      <xdr:row>42</xdr:row>
      <xdr:rowOff>22905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duotone>
            <a:schemeClr val="accent5">
              <a:shade val="45000"/>
              <a:satMod val="135000"/>
            </a:schemeClr>
            <a:prstClr val="white"/>
          </a:duotone>
          <a:alphaModFix amt="90000"/>
        </a:blip>
        <a:stretch>
          <a:fillRect/>
        </a:stretch>
      </xdr:blipFill>
      <xdr:spPr>
        <a:xfrm>
          <a:off x="2152650" y="7296150"/>
          <a:ext cx="810838" cy="518205"/>
        </a:xfrm>
        <a:prstGeom prst="rect">
          <a:avLst/>
        </a:prstGeom>
      </xdr:spPr>
    </xdr:pic>
    <xdr:clientData/>
  </xdr:twoCellAnchor>
  <xdr:twoCellAnchor editAs="oneCell">
    <xdr:from>
      <xdr:col>1</xdr:col>
      <xdr:colOff>76200</xdr:colOff>
      <xdr:row>122</xdr:row>
      <xdr:rowOff>85725</xdr:rowOff>
    </xdr:from>
    <xdr:to>
      <xdr:col>1</xdr:col>
      <xdr:colOff>771204</xdr:colOff>
      <xdr:row>127</xdr:row>
      <xdr:rowOff>17582</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duotone>
            <a:schemeClr val="accent5">
              <a:shade val="45000"/>
              <a:satMod val="135000"/>
            </a:schemeClr>
            <a:prstClr val="white"/>
          </a:duotone>
          <a:alphaModFix amt="92000"/>
        </a:blip>
        <a:stretch>
          <a:fillRect/>
        </a:stretch>
      </xdr:blipFill>
      <xdr:spPr>
        <a:xfrm>
          <a:off x="2124075" y="15173325"/>
          <a:ext cx="695004" cy="646232"/>
        </a:xfrm>
        <a:prstGeom prst="rect">
          <a:avLst/>
        </a:prstGeom>
      </xdr:spPr>
    </xdr:pic>
    <xdr:clientData/>
  </xdr:twoCellAnchor>
  <xdr:twoCellAnchor editAs="oneCell">
    <xdr:from>
      <xdr:col>1</xdr:col>
      <xdr:colOff>85725</xdr:colOff>
      <xdr:row>129</xdr:row>
      <xdr:rowOff>95250</xdr:rowOff>
    </xdr:from>
    <xdr:to>
      <xdr:col>1</xdr:col>
      <xdr:colOff>658799</xdr:colOff>
      <xdr:row>133</xdr:row>
      <xdr:rowOff>102920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duotone>
            <a:schemeClr val="accent5">
              <a:shade val="45000"/>
              <a:satMod val="135000"/>
            </a:schemeClr>
            <a:prstClr val="white"/>
          </a:duotone>
          <a:alphaModFix amt="92000"/>
        </a:blip>
        <a:stretch>
          <a:fillRect/>
        </a:stretch>
      </xdr:blipFill>
      <xdr:spPr>
        <a:xfrm>
          <a:off x="2133600" y="16182975"/>
          <a:ext cx="573074" cy="579170"/>
        </a:xfrm>
        <a:prstGeom prst="rect">
          <a:avLst/>
        </a:prstGeom>
      </xdr:spPr>
    </xdr:pic>
    <xdr:clientData/>
  </xdr:twoCellAnchor>
  <xdr:twoCellAnchor editAs="oneCell">
    <xdr:from>
      <xdr:col>1</xdr:col>
      <xdr:colOff>133350</xdr:colOff>
      <xdr:row>112</xdr:row>
      <xdr:rowOff>104775</xdr:rowOff>
    </xdr:from>
    <xdr:to>
      <xdr:col>1</xdr:col>
      <xdr:colOff>743598</xdr:colOff>
      <xdr:row>115</xdr:row>
      <xdr:rowOff>66675</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8">
          <a:duotone>
            <a:schemeClr val="accent5">
              <a:shade val="45000"/>
              <a:satMod val="135000"/>
            </a:schemeClr>
            <a:prstClr val="white"/>
          </a:duotone>
          <a:alphaModFix amt="92000"/>
        </a:blip>
        <a:srcRect t="17998" b="18007"/>
        <a:stretch/>
      </xdr:blipFill>
      <xdr:spPr>
        <a:xfrm>
          <a:off x="2181225" y="13763625"/>
          <a:ext cx="610248" cy="390525"/>
        </a:xfrm>
        <a:prstGeom prst="rect">
          <a:avLst/>
        </a:prstGeom>
      </xdr:spPr>
    </xdr:pic>
    <xdr:clientData/>
  </xdr:twoCellAnchor>
  <xdr:oneCellAnchor>
    <xdr:from>
      <xdr:col>1</xdr:col>
      <xdr:colOff>123825</xdr:colOff>
      <xdr:row>9</xdr:row>
      <xdr:rowOff>133350</xdr:rowOff>
    </xdr:from>
    <xdr:ext cx="762066" cy="524301"/>
    <xdr:pic>
      <xdr:nvPicPr>
        <xdr:cNvPr id="49" name="Picture 48">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duotone>
            <a:schemeClr val="accent5">
              <a:shade val="45000"/>
              <a:satMod val="135000"/>
            </a:schemeClr>
            <a:prstClr val="white"/>
          </a:duotone>
          <a:alphaModFix amt="92000"/>
        </a:blip>
        <a:stretch>
          <a:fillRect/>
        </a:stretch>
      </xdr:blipFill>
      <xdr:spPr>
        <a:xfrm>
          <a:off x="2171700" y="5353050"/>
          <a:ext cx="762066" cy="524301"/>
        </a:xfrm>
        <a:prstGeom prst="rect">
          <a:avLst/>
        </a:prstGeom>
      </xdr:spPr>
    </xdr:pic>
    <xdr:clientData/>
  </xdr:oneCellAnchor>
  <xdr:twoCellAnchor editAs="oneCell">
    <xdr:from>
      <xdr:col>3</xdr:col>
      <xdr:colOff>742950</xdr:colOff>
      <xdr:row>7</xdr:row>
      <xdr:rowOff>9528</xdr:rowOff>
    </xdr:from>
    <xdr:to>
      <xdr:col>3</xdr:col>
      <xdr:colOff>880187</xdr:colOff>
      <xdr:row>7</xdr:row>
      <xdr:rowOff>142728</xdr:rowOff>
    </xdr:to>
    <xdr:pic macro="[0]!DataME_Parameter">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10"/>
        <a:stretch>
          <a:fillRect/>
        </a:stretch>
      </xdr:blipFill>
      <xdr:spPr>
        <a:xfrm>
          <a:off x="5886450" y="2800353"/>
          <a:ext cx="137237" cy="133200"/>
        </a:xfrm>
        <a:prstGeom prst="rect">
          <a:avLst/>
        </a:prstGeom>
      </xdr:spPr>
    </xdr:pic>
    <xdr:clientData/>
  </xdr:twoCellAnchor>
  <xdr:twoCellAnchor editAs="absolute">
    <xdr:from>
      <xdr:col>0</xdr:col>
      <xdr:colOff>171450</xdr:colOff>
      <xdr:row>13</xdr:row>
      <xdr:rowOff>38100</xdr:rowOff>
    </xdr:from>
    <xdr:to>
      <xdr:col>0</xdr:col>
      <xdr:colOff>1819275</xdr:colOff>
      <xdr:row>15</xdr:row>
      <xdr:rowOff>81915</xdr:rowOff>
    </xdr:to>
    <xdr:sp macro="" textlink="">
      <xdr:nvSpPr>
        <xdr:cNvPr id="51" name="Rounded Rectangle 25" descr="50c1cdf4-a7ed-4a69-a88b-a569bf3eb828">
          <a:hlinkClick xmlns:r="http://schemas.openxmlformats.org/officeDocument/2006/relationships" r:id="rId20"/>
          <a:extLst>
            <a:ext uri="{FF2B5EF4-FFF2-40B4-BE49-F238E27FC236}">
              <a16:creationId xmlns:a16="http://schemas.microsoft.com/office/drawing/2014/main" id="{00000000-0008-0000-0500-000033000000}"/>
            </a:ext>
          </a:extLst>
        </xdr:cNvPr>
        <xdr:cNvSpPr/>
      </xdr:nvSpPr>
      <xdr:spPr>
        <a:xfrm>
          <a:off x="171450" y="36861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171450</xdr:colOff>
      <xdr:row>16</xdr:row>
      <xdr:rowOff>66675</xdr:rowOff>
    </xdr:from>
    <xdr:to>
      <xdr:col>0</xdr:col>
      <xdr:colOff>1819275</xdr:colOff>
      <xdr:row>18</xdr:row>
      <xdr:rowOff>110490</xdr:rowOff>
    </xdr:to>
    <xdr:sp macro="" textlink="">
      <xdr:nvSpPr>
        <xdr:cNvPr id="52" name="Rounded Rectangle 25" descr="4348970f-18f1-4a70-a02e-34e5cb748468">
          <a:hlinkClick xmlns:r="http://schemas.openxmlformats.org/officeDocument/2006/relationships" r:id="rId21"/>
          <a:extLst>
            <a:ext uri="{FF2B5EF4-FFF2-40B4-BE49-F238E27FC236}">
              <a16:creationId xmlns:a16="http://schemas.microsoft.com/office/drawing/2014/main" id="{00000000-0008-0000-0500-000034000000}"/>
            </a:ext>
          </a:extLst>
        </xdr:cNvPr>
        <xdr:cNvSpPr/>
      </xdr:nvSpPr>
      <xdr:spPr>
        <a:xfrm>
          <a:off x="171450" y="41433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171450</xdr:colOff>
      <xdr:row>19</xdr:row>
      <xdr:rowOff>85725</xdr:rowOff>
    </xdr:from>
    <xdr:to>
      <xdr:col>0</xdr:col>
      <xdr:colOff>1819275</xdr:colOff>
      <xdr:row>21</xdr:row>
      <xdr:rowOff>129540</xdr:rowOff>
    </xdr:to>
    <xdr:sp macro="" textlink="">
      <xdr:nvSpPr>
        <xdr:cNvPr id="53" name="Rounded Rectangle 25" descr="144901bd-4156-4cda-867e-6f32d15c7d53">
          <a:hlinkClick xmlns:r="http://schemas.openxmlformats.org/officeDocument/2006/relationships" r:id="rId22"/>
          <a:extLst>
            <a:ext uri="{FF2B5EF4-FFF2-40B4-BE49-F238E27FC236}">
              <a16:creationId xmlns:a16="http://schemas.microsoft.com/office/drawing/2014/main" id="{00000000-0008-0000-0500-000035000000}"/>
            </a:ext>
          </a:extLst>
        </xdr:cNvPr>
        <xdr:cNvSpPr/>
      </xdr:nvSpPr>
      <xdr:spPr>
        <a:xfrm>
          <a:off x="171450" y="45910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272415</xdr:colOff>
      <xdr:row>0</xdr:row>
      <xdr:rowOff>93345</xdr:rowOff>
    </xdr:from>
    <xdr:to>
      <xdr:col>10</xdr:col>
      <xdr:colOff>772795</xdr:colOff>
      <xdr:row>0</xdr:row>
      <xdr:rowOff>1775037</xdr:rowOff>
    </xdr:to>
    <xdr:grpSp>
      <xdr:nvGrpSpPr>
        <xdr:cNvPr id="79" name="Group 78">
          <a:extLst>
            <a:ext uri="{FF2B5EF4-FFF2-40B4-BE49-F238E27FC236}">
              <a16:creationId xmlns:a16="http://schemas.microsoft.com/office/drawing/2014/main" id="{07991C08-BEFC-4052-B622-57B9BF0DF7E5}"/>
            </a:ext>
          </a:extLst>
        </xdr:cNvPr>
        <xdr:cNvGrpSpPr/>
      </xdr:nvGrpSpPr>
      <xdr:grpSpPr>
        <a:xfrm>
          <a:off x="274320" y="97155"/>
          <a:ext cx="16473805" cy="1674072"/>
          <a:chOff x="171450" y="91441"/>
          <a:chExt cx="16462375" cy="1683597"/>
        </a:xfrm>
      </xdr:grpSpPr>
      <xdr:pic>
        <xdr:nvPicPr>
          <xdr:cNvPr id="80" name="Picture 79">
            <a:extLst>
              <a:ext uri="{FF2B5EF4-FFF2-40B4-BE49-F238E27FC236}">
                <a16:creationId xmlns:a16="http://schemas.microsoft.com/office/drawing/2014/main" id="{44AD0ADA-B2BD-41F8-A0C7-780CDF7512F9}"/>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81" name="Group 80">
            <a:extLst>
              <a:ext uri="{FF2B5EF4-FFF2-40B4-BE49-F238E27FC236}">
                <a16:creationId xmlns:a16="http://schemas.microsoft.com/office/drawing/2014/main" id="{CB1A8C6C-FCED-4AC3-99C7-D43D3730D556}"/>
              </a:ext>
            </a:extLst>
          </xdr:cNvPr>
          <xdr:cNvGrpSpPr/>
        </xdr:nvGrpSpPr>
        <xdr:grpSpPr>
          <a:xfrm>
            <a:off x="167640" y="95251"/>
            <a:ext cx="16462375" cy="1675977"/>
            <a:chOff x="167640" y="95251"/>
            <a:chExt cx="16462375" cy="1675977"/>
          </a:xfrm>
        </xdr:grpSpPr>
        <xdr:grpSp>
          <xdr:nvGrpSpPr>
            <xdr:cNvPr id="82" name="Group 81">
              <a:extLst>
                <a:ext uri="{FF2B5EF4-FFF2-40B4-BE49-F238E27FC236}">
                  <a16:creationId xmlns:a16="http://schemas.microsoft.com/office/drawing/2014/main" id="{6C46BC44-B7C6-4518-9502-50A1CF688554}"/>
                </a:ext>
              </a:extLst>
            </xdr:cNvPr>
            <xdr:cNvGrpSpPr/>
          </xdr:nvGrpSpPr>
          <xdr:grpSpPr>
            <a:xfrm>
              <a:off x="171450" y="91441"/>
              <a:ext cx="16462375" cy="1683597"/>
              <a:chOff x="171449" y="38100"/>
              <a:chExt cx="16659225" cy="1704975"/>
            </a:xfrm>
          </xdr:grpSpPr>
          <xdr:grpSp>
            <xdr:nvGrpSpPr>
              <xdr:cNvPr id="84" name="Group 83">
                <a:extLst>
                  <a:ext uri="{FF2B5EF4-FFF2-40B4-BE49-F238E27FC236}">
                    <a16:creationId xmlns:a16="http://schemas.microsoft.com/office/drawing/2014/main" id="{38DEA0FD-1BDF-449E-8851-D2A79F04D35E}"/>
                  </a:ext>
                </a:extLst>
              </xdr:cNvPr>
              <xdr:cNvGrpSpPr/>
            </xdr:nvGrpSpPr>
            <xdr:grpSpPr>
              <a:xfrm>
                <a:off x="171449" y="38100"/>
                <a:ext cx="16659225" cy="1704975"/>
                <a:chOff x="171449" y="38100"/>
                <a:chExt cx="16659225" cy="1704975"/>
              </a:xfrm>
            </xdr:grpSpPr>
            <xdr:pic>
              <xdr:nvPicPr>
                <xdr:cNvPr id="87" name="Picture 86" descr="catalisti.be">
                  <a:extLst>
                    <a:ext uri="{FF2B5EF4-FFF2-40B4-BE49-F238E27FC236}">
                      <a16:creationId xmlns:a16="http://schemas.microsoft.com/office/drawing/2014/main" id="{76F96491-BE98-49E3-873E-00688B594A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8" name="Rectangle 87">
                  <a:extLst>
                    <a:ext uri="{FF2B5EF4-FFF2-40B4-BE49-F238E27FC236}">
                      <a16:creationId xmlns:a16="http://schemas.microsoft.com/office/drawing/2014/main" id="{B11AB250-E4F4-467C-8592-0C861C8D0435}"/>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89" name="Rectangle: Rounded Corners 88">
                  <a:extLst>
                    <a:ext uri="{FF2B5EF4-FFF2-40B4-BE49-F238E27FC236}">
                      <a16:creationId xmlns:a16="http://schemas.microsoft.com/office/drawing/2014/main" id="{D284D6D6-3F9C-4348-9649-14DF362B1B03}"/>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90" name="Picture 89">
                  <a:extLst>
                    <a:ext uri="{FF2B5EF4-FFF2-40B4-BE49-F238E27FC236}">
                      <a16:creationId xmlns:a16="http://schemas.microsoft.com/office/drawing/2014/main" id="{3B2A38EC-5B41-43E2-86CF-25314F56C1E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91" name="Picture 90">
                  <a:extLst>
                    <a:ext uri="{FF2B5EF4-FFF2-40B4-BE49-F238E27FC236}">
                      <a16:creationId xmlns:a16="http://schemas.microsoft.com/office/drawing/2014/main" id="{19825993-E224-4A28-8966-AC82F41800F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92" name="Picture 91">
                  <a:extLst>
                    <a:ext uri="{FF2B5EF4-FFF2-40B4-BE49-F238E27FC236}">
                      <a16:creationId xmlns:a16="http://schemas.microsoft.com/office/drawing/2014/main" id="{D8D706DA-BBF2-4BD0-9805-8F61A17D003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93" name="Picture 92">
                  <a:extLst>
                    <a:ext uri="{FF2B5EF4-FFF2-40B4-BE49-F238E27FC236}">
                      <a16:creationId xmlns:a16="http://schemas.microsoft.com/office/drawing/2014/main" id="{19747795-BE09-4EAA-99E4-43C0EFC549D8}"/>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85" name="Picture 84">
                <a:extLst>
                  <a:ext uri="{FF2B5EF4-FFF2-40B4-BE49-F238E27FC236}">
                    <a16:creationId xmlns:a16="http://schemas.microsoft.com/office/drawing/2014/main" id="{DEDADBCD-15C9-4D5F-9ACD-E7E5DB3181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86" name="TextBox 85">
                <a:extLst>
                  <a:ext uri="{FF2B5EF4-FFF2-40B4-BE49-F238E27FC236}">
                    <a16:creationId xmlns:a16="http://schemas.microsoft.com/office/drawing/2014/main" id="{C0D1D955-85EF-4505-B9A8-21FA75C9BC5E}"/>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83" name="Picture 82">
              <a:extLst>
                <a:ext uri="{FF2B5EF4-FFF2-40B4-BE49-F238E27FC236}">
                  <a16:creationId xmlns:a16="http://schemas.microsoft.com/office/drawing/2014/main" id="{599CEDD9-6BB5-44CA-A8B9-ADACE03FEA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362585</xdr:colOff>
      <xdr:row>4</xdr:row>
      <xdr:rowOff>114300</xdr:rowOff>
    </xdr:from>
    <xdr:to>
      <xdr:col>0</xdr:col>
      <xdr:colOff>972185</xdr:colOff>
      <xdr:row>9</xdr:row>
      <xdr:rowOff>55880</xdr:rowOff>
    </xdr:to>
    <xdr:grpSp>
      <xdr:nvGrpSpPr>
        <xdr:cNvPr id="50" name="Group 49">
          <a:extLst>
            <a:ext uri="{FF2B5EF4-FFF2-40B4-BE49-F238E27FC236}">
              <a16:creationId xmlns:a16="http://schemas.microsoft.com/office/drawing/2014/main" id="{2940FA5D-CD3D-4F64-9329-DBDD6C35B4AB}"/>
            </a:ext>
          </a:extLst>
        </xdr:cNvPr>
        <xdr:cNvGrpSpPr/>
      </xdr:nvGrpSpPr>
      <xdr:grpSpPr>
        <a:xfrm>
          <a:off x="358775" y="2476500"/>
          <a:ext cx="609600" cy="659765"/>
          <a:chOff x="12801600" y="129540"/>
          <a:chExt cx="609600" cy="685800"/>
        </a:xfrm>
      </xdr:grpSpPr>
      <xdr:pic macro="[0]!Previous_worksheet">
        <xdr:nvPicPr>
          <xdr:cNvPr id="51" name="Picture 50">
            <a:extLst>
              <a:ext uri="{FF2B5EF4-FFF2-40B4-BE49-F238E27FC236}">
                <a16:creationId xmlns:a16="http://schemas.microsoft.com/office/drawing/2014/main" id="{ACE98761-ADB2-42C3-9232-FF4657BD8DF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52" name="TextBox 51">
            <a:extLst>
              <a:ext uri="{FF2B5EF4-FFF2-40B4-BE49-F238E27FC236}">
                <a16:creationId xmlns:a16="http://schemas.microsoft.com/office/drawing/2014/main" id="{8E7880A9-EA65-4D07-825C-D60D21CB0CB5}"/>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1012190</xdr:colOff>
      <xdr:row>4</xdr:row>
      <xdr:rowOff>133985</xdr:rowOff>
    </xdr:from>
    <xdr:to>
      <xdr:col>0</xdr:col>
      <xdr:colOff>1621790</xdr:colOff>
      <xdr:row>9</xdr:row>
      <xdr:rowOff>56515</xdr:rowOff>
    </xdr:to>
    <xdr:grpSp>
      <xdr:nvGrpSpPr>
        <xdr:cNvPr id="53" name="Group 52">
          <a:extLst>
            <a:ext uri="{FF2B5EF4-FFF2-40B4-BE49-F238E27FC236}">
              <a16:creationId xmlns:a16="http://schemas.microsoft.com/office/drawing/2014/main" id="{E1FCC48B-AEF7-4849-8D46-81DCA4277C7D}"/>
            </a:ext>
          </a:extLst>
        </xdr:cNvPr>
        <xdr:cNvGrpSpPr/>
      </xdr:nvGrpSpPr>
      <xdr:grpSpPr>
        <a:xfrm>
          <a:off x="1008380" y="2492375"/>
          <a:ext cx="609600" cy="644525"/>
          <a:chOff x="13464540" y="68580"/>
          <a:chExt cx="609600" cy="662940"/>
        </a:xfrm>
      </xdr:grpSpPr>
      <xdr:pic macro="[0]!Next_worksheet">
        <xdr:nvPicPr>
          <xdr:cNvPr id="77" name="Picture 76">
            <a:extLst>
              <a:ext uri="{FF2B5EF4-FFF2-40B4-BE49-F238E27FC236}">
                <a16:creationId xmlns:a16="http://schemas.microsoft.com/office/drawing/2014/main" id="{E92AF65E-0446-42EB-A268-84586A010ED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78" name="TextBox 77">
            <a:extLst>
              <a:ext uri="{FF2B5EF4-FFF2-40B4-BE49-F238E27FC236}">
                <a16:creationId xmlns:a16="http://schemas.microsoft.com/office/drawing/2014/main" id="{12421B56-2DC6-4792-AAAC-46B95C2A4E1F}"/>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428625</xdr:colOff>
      <xdr:row>146</xdr:row>
      <xdr:rowOff>85725</xdr:rowOff>
    </xdr:from>
    <xdr:to>
      <xdr:col>0</xdr:col>
      <xdr:colOff>1335405</xdr:colOff>
      <xdr:row>151</xdr:row>
      <xdr:rowOff>94615</xdr:rowOff>
    </xdr:to>
    <xdr:grpSp>
      <xdr:nvGrpSpPr>
        <xdr:cNvPr id="23" name="Group 22">
          <a:extLst>
            <a:ext uri="{FF2B5EF4-FFF2-40B4-BE49-F238E27FC236}">
              <a16:creationId xmlns:a16="http://schemas.microsoft.com/office/drawing/2014/main" id="{00000000-0008-0000-0600-000017000000}"/>
            </a:ext>
          </a:extLst>
        </xdr:cNvPr>
        <xdr:cNvGrpSpPr/>
      </xdr:nvGrpSpPr>
      <xdr:grpSpPr>
        <a:xfrm>
          <a:off x="430530" y="22976205"/>
          <a:ext cx="904875" cy="725170"/>
          <a:chOff x="12771120" y="8145780"/>
          <a:chExt cx="906780" cy="739140"/>
        </a:xfrm>
      </xdr:grpSpPr>
      <xdr:pic macro="[0]!Top_of_page">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5" name="TextBox 24">
            <a:extLst>
              <a:ext uri="{FF2B5EF4-FFF2-40B4-BE49-F238E27FC236}">
                <a16:creationId xmlns:a16="http://schemas.microsoft.com/office/drawing/2014/main" id="{00000000-0008-0000-0600-000019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800100</xdr:colOff>
      <xdr:row>2</xdr:row>
      <xdr:rowOff>133350</xdr:rowOff>
    </xdr:from>
    <xdr:to>
      <xdr:col>2</xdr:col>
      <xdr:colOff>1011192</xdr:colOff>
      <xdr:row>3</xdr:row>
      <xdr:rowOff>191660</xdr:rowOff>
    </xdr:to>
    <xdr:pic macro="[0]!Data_Economic">
      <xdr:nvPicPr>
        <xdr:cNvPr id="33" name="Picture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0"/>
        <a:stretch>
          <a:fillRect/>
        </a:stretch>
      </xdr:blipFill>
      <xdr:spPr>
        <a:xfrm>
          <a:off x="4895850" y="2105025"/>
          <a:ext cx="207282" cy="201185"/>
        </a:xfrm>
        <a:prstGeom prst="rect">
          <a:avLst/>
        </a:prstGeom>
      </xdr:spPr>
    </xdr:pic>
    <xdr:clientData/>
  </xdr:twoCellAnchor>
  <xdr:twoCellAnchor editAs="oneCell">
    <xdr:from>
      <xdr:col>4</xdr:col>
      <xdr:colOff>809625</xdr:colOff>
      <xdr:row>7</xdr:row>
      <xdr:rowOff>9525</xdr:rowOff>
    </xdr:from>
    <xdr:to>
      <xdr:col>4</xdr:col>
      <xdr:colOff>936221</xdr:colOff>
      <xdr:row>8</xdr:row>
      <xdr:rowOff>0</xdr:rowOff>
    </xdr:to>
    <xdr:pic macro="[0]!Unit">
      <xdr:nvPicPr>
        <xdr:cNvPr id="34" name="Picture 3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0"/>
        <a:stretch>
          <a:fillRect/>
        </a:stretch>
      </xdr:blipFill>
      <xdr:spPr>
        <a:xfrm>
          <a:off x="8667750" y="3800475"/>
          <a:ext cx="137391" cy="133350"/>
        </a:xfrm>
        <a:prstGeom prst="rect">
          <a:avLst/>
        </a:prstGeom>
      </xdr:spPr>
    </xdr:pic>
    <xdr:clientData/>
  </xdr:twoCellAnchor>
  <xdr:twoCellAnchor editAs="oneCell">
    <xdr:from>
      <xdr:col>5</xdr:col>
      <xdr:colOff>1247775</xdr:colOff>
      <xdr:row>7</xdr:row>
      <xdr:rowOff>19050</xdr:rowOff>
    </xdr:from>
    <xdr:to>
      <xdr:col>6</xdr:col>
      <xdr:colOff>20551</xdr:colOff>
      <xdr:row>8</xdr:row>
      <xdr:rowOff>0</xdr:rowOff>
    </xdr:to>
    <xdr:pic macro="[0]!Indicative_value">
      <xdr:nvPicPr>
        <xdr:cNvPr id="35" name="Picture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0"/>
        <a:stretch>
          <a:fillRect/>
        </a:stretch>
      </xdr:blipFill>
      <xdr:spPr>
        <a:xfrm>
          <a:off x="10429875" y="3810000"/>
          <a:ext cx="137391" cy="133350"/>
        </a:xfrm>
        <a:prstGeom prst="rect">
          <a:avLst/>
        </a:prstGeom>
      </xdr:spPr>
    </xdr:pic>
    <xdr:clientData/>
  </xdr:twoCellAnchor>
  <xdr:twoCellAnchor editAs="oneCell">
    <xdr:from>
      <xdr:col>6</xdr:col>
      <xdr:colOff>781050</xdr:colOff>
      <xdr:row>7</xdr:row>
      <xdr:rowOff>19049</xdr:rowOff>
    </xdr:from>
    <xdr:to>
      <xdr:col>6</xdr:col>
      <xdr:colOff>934951</xdr:colOff>
      <xdr:row>8</xdr:row>
      <xdr:rowOff>3174</xdr:rowOff>
    </xdr:to>
    <xdr:pic macro="[0]!Parameterrange">
      <xdr:nvPicPr>
        <xdr:cNvPr id="36" name="Picture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0"/>
        <a:stretch>
          <a:fillRect/>
        </a:stretch>
      </xdr:blipFill>
      <xdr:spPr>
        <a:xfrm>
          <a:off x="11344275" y="3809999"/>
          <a:ext cx="137391" cy="133350"/>
        </a:xfrm>
        <a:prstGeom prst="rect">
          <a:avLst/>
        </a:prstGeom>
      </xdr:spPr>
    </xdr:pic>
    <xdr:clientData/>
  </xdr:twoCellAnchor>
  <xdr:twoCellAnchor editAs="oneCell">
    <xdr:from>
      <xdr:col>1</xdr:col>
      <xdr:colOff>85725</xdr:colOff>
      <xdr:row>78</xdr:row>
      <xdr:rowOff>9525</xdr:rowOff>
    </xdr:from>
    <xdr:to>
      <xdr:col>1</xdr:col>
      <xdr:colOff>212321</xdr:colOff>
      <xdr:row>79</xdr:row>
      <xdr:rowOff>0</xdr:rowOff>
    </xdr:to>
    <xdr:pic macro="[0]!Process">
      <xdr:nvPicPr>
        <xdr:cNvPr id="37" name="Picture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0"/>
        <a:stretch>
          <a:fillRect/>
        </a:stretch>
      </xdr:blipFill>
      <xdr:spPr>
        <a:xfrm>
          <a:off x="2133600" y="8343900"/>
          <a:ext cx="137391" cy="133350"/>
        </a:xfrm>
        <a:prstGeom prst="rect">
          <a:avLst/>
        </a:prstGeom>
      </xdr:spPr>
    </xdr:pic>
    <xdr:clientData/>
  </xdr:twoCellAnchor>
  <xdr:twoCellAnchor editAs="oneCell">
    <xdr:from>
      <xdr:col>1</xdr:col>
      <xdr:colOff>647700</xdr:colOff>
      <xdr:row>8</xdr:row>
      <xdr:rowOff>19050</xdr:rowOff>
    </xdr:from>
    <xdr:to>
      <xdr:col>1</xdr:col>
      <xdr:colOff>784456</xdr:colOff>
      <xdr:row>9</xdr:row>
      <xdr:rowOff>19685</xdr:rowOff>
    </xdr:to>
    <xdr:pic macro="[0]!Financial">
      <xdr:nvPicPr>
        <xdr:cNvPr id="38" name="Picture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0"/>
        <a:stretch>
          <a:fillRect/>
        </a:stretch>
      </xdr:blipFill>
      <xdr:spPr>
        <a:xfrm>
          <a:off x="2695575" y="3952875"/>
          <a:ext cx="137391" cy="133350"/>
        </a:xfrm>
        <a:prstGeom prst="rect">
          <a:avLst/>
        </a:prstGeom>
      </xdr:spPr>
    </xdr:pic>
    <xdr:clientData/>
  </xdr:twoCellAnchor>
  <xdr:twoCellAnchor editAs="oneCell">
    <xdr:from>
      <xdr:col>1</xdr:col>
      <xdr:colOff>1676400</xdr:colOff>
      <xdr:row>38</xdr:row>
      <xdr:rowOff>19050</xdr:rowOff>
    </xdr:from>
    <xdr:to>
      <xdr:col>1</xdr:col>
      <xdr:colOff>1813156</xdr:colOff>
      <xdr:row>39</xdr:row>
      <xdr:rowOff>19685</xdr:rowOff>
    </xdr:to>
    <xdr:pic macro="[0]!Operational_cost">
      <xdr:nvPicPr>
        <xdr:cNvPr id="39" name="Picture 3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10"/>
        <a:stretch>
          <a:fillRect/>
        </a:stretch>
      </xdr:blipFill>
      <xdr:spPr>
        <a:xfrm>
          <a:off x="3724275" y="5381625"/>
          <a:ext cx="137391" cy="133350"/>
        </a:xfrm>
        <a:prstGeom prst="rect">
          <a:avLst/>
        </a:prstGeom>
      </xdr:spPr>
    </xdr:pic>
    <xdr:clientData/>
  </xdr:twoCellAnchor>
  <xdr:twoCellAnchor editAs="oneCell">
    <xdr:from>
      <xdr:col>8</xdr:col>
      <xdr:colOff>95250</xdr:colOff>
      <xdr:row>5</xdr:row>
      <xdr:rowOff>133350</xdr:rowOff>
    </xdr:from>
    <xdr:to>
      <xdr:col>8</xdr:col>
      <xdr:colOff>249151</xdr:colOff>
      <xdr:row>6</xdr:row>
      <xdr:rowOff>133985</xdr:rowOff>
    </xdr:to>
    <xdr:pic macro="[0]!Pathwayvalues">
      <xdr:nvPicPr>
        <xdr:cNvPr id="40" name="Picture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0"/>
        <a:stretch>
          <a:fillRect/>
        </a:stretch>
      </xdr:blipFill>
      <xdr:spPr>
        <a:xfrm>
          <a:off x="11763375" y="3638550"/>
          <a:ext cx="137391" cy="133350"/>
        </a:xfrm>
        <a:prstGeom prst="rect">
          <a:avLst/>
        </a:prstGeom>
      </xdr:spPr>
    </xdr:pic>
    <xdr:clientData/>
  </xdr:twoCellAnchor>
  <xdr:twoCellAnchor editAs="oneCell">
    <xdr:from>
      <xdr:col>7</xdr:col>
      <xdr:colOff>771525</xdr:colOff>
      <xdr:row>7</xdr:row>
      <xdr:rowOff>9525</xdr:rowOff>
    </xdr:from>
    <xdr:to>
      <xdr:col>7</xdr:col>
      <xdr:colOff>898664</xdr:colOff>
      <xdr:row>8</xdr:row>
      <xdr:rowOff>774</xdr:rowOff>
    </xdr:to>
    <xdr:pic macro="[0]!Data_type">
      <xdr:nvPicPr>
        <xdr:cNvPr id="55" name="Picture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11"/>
        <a:stretch>
          <a:fillRect/>
        </a:stretch>
      </xdr:blipFill>
      <xdr:spPr>
        <a:xfrm>
          <a:off x="12106275" y="3800475"/>
          <a:ext cx="134124" cy="134124"/>
        </a:xfrm>
        <a:prstGeom prst="rect">
          <a:avLst/>
        </a:prstGeom>
      </xdr:spPr>
    </xdr:pic>
    <xdr:clientData/>
  </xdr:twoCellAnchor>
  <xdr:twoCellAnchor editAs="oneCell">
    <xdr:from>
      <xdr:col>1</xdr:col>
      <xdr:colOff>104775</xdr:colOff>
      <xdr:row>111</xdr:row>
      <xdr:rowOff>47625</xdr:rowOff>
    </xdr:from>
    <xdr:to>
      <xdr:col>1</xdr:col>
      <xdr:colOff>706045</xdr:colOff>
      <xdr:row>115</xdr:row>
      <xdr:rowOff>53897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2">
          <a:duotone>
            <a:schemeClr val="accent2">
              <a:shade val="45000"/>
              <a:satMod val="135000"/>
            </a:schemeClr>
            <a:prstClr val="white"/>
          </a:duotone>
          <a:alphaModFix amt="89000"/>
          <a:extLst>
            <a:ext uri="{BEBA8EAE-BF5A-486C-A8C5-ECC9F3942E4B}">
              <a14:imgProps xmlns:a14="http://schemas.microsoft.com/office/drawing/2010/main">
                <a14:imgLayer r:embed="rId13">
                  <a14:imgEffect>
                    <a14:colorTemperature colorTemp="1812"/>
                  </a14:imgEffect>
                  <a14:imgEffect>
                    <a14:brightnessContrast bright="-1000"/>
                  </a14:imgEffect>
                </a14:imgLayer>
              </a14:imgProps>
            </a:ext>
          </a:extLst>
        </a:blip>
        <a:stretch>
          <a:fillRect/>
        </a:stretch>
      </xdr:blipFill>
      <xdr:spPr>
        <a:xfrm>
          <a:off x="2152650" y="15468600"/>
          <a:ext cx="597460" cy="566977"/>
        </a:xfrm>
        <a:prstGeom prst="rect">
          <a:avLst/>
        </a:prstGeom>
      </xdr:spPr>
    </xdr:pic>
    <xdr:clientData/>
  </xdr:twoCellAnchor>
  <xdr:twoCellAnchor editAs="oneCell">
    <xdr:from>
      <xdr:col>1</xdr:col>
      <xdr:colOff>114300</xdr:colOff>
      <xdr:row>89</xdr:row>
      <xdr:rowOff>76200</xdr:rowOff>
    </xdr:from>
    <xdr:to>
      <xdr:col>1</xdr:col>
      <xdr:colOff>705917</xdr:colOff>
      <xdr:row>93</xdr:row>
      <xdr:rowOff>35098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4">
          <a:duotone>
            <a:schemeClr val="accent2">
              <a:shade val="45000"/>
              <a:satMod val="135000"/>
            </a:schemeClr>
            <a:prstClr val="white"/>
          </a:duotone>
          <a:alphaModFix amt="85000"/>
        </a:blip>
        <a:stretch>
          <a:fillRect/>
        </a:stretch>
      </xdr:blipFill>
      <xdr:spPr>
        <a:xfrm>
          <a:off x="2162175" y="12353925"/>
          <a:ext cx="585267" cy="530398"/>
        </a:xfrm>
        <a:prstGeom prst="rect">
          <a:avLst/>
        </a:prstGeom>
      </xdr:spPr>
    </xdr:pic>
    <xdr:clientData/>
  </xdr:twoCellAnchor>
  <xdr:twoCellAnchor editAs="oneCell">
    <xdr:from>
      <xdr:col>1</xdr:col>
      <xdr:colOff>133350</xdr:colOff>
      <xdr:row>121</xdr:row>
      <xdr:rowOff>104776</xdr:rowOff>
    </xdr:from>
    <xdr:to>
      <xdr:col>1</xdr:col>
      <xdr:colOff>740330</xdr:colOff>
      <xdr:row>124</xdr:row>
      <xdr:rowOff>91441</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15">
          <a:duotone>
            <a:schemeClr val="accent2">
              <a:shade val="45000"/>
              <a:satMod val="135000"/>
            </a:schemeClr>
            <a:prstClr val="white"/>
          </a:duotone>
          <a:alphaModFix amt="85000"/>
        </a:blip>
        <a:srcRect t="14852" b="14852"/>
        <a:stretch/>
      </xdr:blipFill>
      <xdr:spPr>
        <a:xfrm>
          <a:off x="2181225" y="16811626"/>
          <a:ext cx="596185" cy="419100"/>
        </a:xfrm>
        <a:prstGeom prst="rect">
          <a:avLst/>
        </a:prstGeom>
      </xdr:spPr>
    </xdr:pic>
    <xdr:clientData/>
  </xdr:twoCellAnchor>
  <xdr:twoCellAnchor editAs="oneCell">
    <xdr:from>
      <xdr:col>1</xdr:col>
      <xdr:colOff>76200</xdr:colOff>
      <xdr:row>80</xdr:row>
      <xdr:rowOff>95250</xdr:rowOff>
    </xdr:from>
    <xdr:to>
      <xdr:col>1</xdr:col>
      <xdr:colOff>838266</xdr:colOff>
      <xdr:row>84</xdr:row>
      <xdr:rowOff>426</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duotone>
            <a:schemeClr val="accent2">
              <a:shade val="45000"/>
              <a:satMod val="135000"/>
            </a:schemeClr>
            <a:prstClr val="white"/>
          </a:duotone>
          <a:alphaModFix amt="85000"/>
        </a:blip>
        <a:stretch>
          <a:fillRect/>
        </a:stretch>
      </xdr:blipFill>
      <xdr:spPr>
        <a:xfrm>
          <a:off x="2124075" y="11039475"/>
          <a:ext cx="762066" cy="524301"/>
        </a:xfrm>
        <a:prstGeom prst="rect">
          <a:avLst/>
        </a:prstGeom>
      </xdr:spPr>
    </xdr:pic>
    <xdr:clientData/>
  </xdr:twoCellAnchor>
  <xdr:twoCellAnchor editAs="oneCell">
    <xdr:from>
      <xdr:col>1</xdr:col>
      <xdr:colOff>57150</xdr:colOff>
      <xdr:row>98</xdr:row>
      <xdr:rowOff>76200</xdr:rowOff>
    </xdr:from>
    <xdr:to>
      <xdr:col>1</xdr:col>
      <xdr:colOff>861003</xdr:colOff>
      <xdr:row>102</xdr:row>
      <xdr:rowOff>22270</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duotone>
            <a:schemeClr val="accent2">
              <a:shade val="45000"/>
              <a:satMod val="135000"/>
            </a:schemeClr>
            <a:prstClr val="white"/>
          </a:duotone>
          <a:alphaModFix amt="85000"/>
        </a:blip>
        <a:stretch>
          <a:fillRect/>
        </a:stretch>
      </xdr:blipFill>
      <xdr:spPr>
        <a:xfrm>
          <a:off x="2105025" y="13639800"/>
          <a:ext cx="810838" cy="518205"/>
        </a:xfrm>
        <a:prstGeom prst="rect">
          <a:avLst/>
        </a:prstGeom>
      </xdr:spPr>
    </xdr:pic>
    <xdr:clientData/>
  </xdr:twoCellAnchor>
  <xdr:twoCellAnchor editAs="oneCell">
    <xdr:from>
      <xdr:col>1</xdr:col>
      <xdr:colOff>104775</xdr:colOff>
      <xdr:row>131</xdr:row>
      <xdr:rowOff>47625</xdr:rowOff>
    </xdr:from>
    <xdr:to>
      <xdr:col>1</xdr:col>
      <xdr:colOff>606724</xdr:colOff>
      <xdr:row>134</xdr:row>
      <xdr:rowOff>95885</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duotone>
            <a:schemeClr val="accent2">
              <a:shade val="45000"/>
              <a:satMod val="135000"/>
            </a:schemeClr>
            <a:prstClr val="white"/>
          </a:duotone>
          <a:alphaModFix amt="85000"/>
        </a:blip>
        <a:stretch>
          <a:fillRect/>
        </a:stretch>
      </xdr:blipFill>
      <xdr:spPr>
        <a:xfrm>
          <a:off x="2152650" y="18183225"/>
          <a:ext cx="501949" cy="466725"/>
        </a:xfrm>
        <a:prstGeom prst="rect">
          <a:avLst/>
        </a:prstGeom>
      </xdr:spPr>
    </xdr:pic>
    <xdr:clientData/>
  </xdr:twoCellAnchor>
  <xdr:twoCellAnchor editAs="oneCell">
    <xdr:from>
      <xdr:col>1</xdr:col>
      <xdr:colOff>95250</xdr:colOff>
      <xdr:row>138</xdr:row>
      <xdr:rowOff>66675</xdr:rowOff>
    </xdr:from>
    <xdr:to>
      <xdr:col>1</xdr:col>
      <xdr:colOff>591185</xdr:colOff>
      <xdr:row>141</xdr:row>
      <xdr:rowOff>129627</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duotone>
            <a:schemeClr val="accent2">
              <a:shade val="45000"/>
              <a:satMod val="135000"/>
            </a:schemeClr>
            <a:prstClr val="white"/>
          </a:duotone>
          <a:alphaModFix amt="85000"/>
        </a:blip>
        <a:stretch>
          <a:fillRect/>
        </a:stretch>
      </xdr:blipFill>
      <xdr:spPr>
        <a:xfrm>
          <a:off x="2143125" y="19202400"/>
          <a:ext cx="485775" cy="490942"/>
        </a:xfrm>
        <a:prstGeom prst="rect">
          <a:avLst/>
        </a:prstGeom>
      </xdr:spPr>
    </xdr:pic>
    <xdr:clientData/>
  </xdr:twoCellAnchor>
  <xdr:twoCellAnchor editAs="absolute">
    <xdr:from>
      <xdr:col>0</xdr:col>
      <xdr:colOff>173990</xdr:colOff>
      <xdr:row>9</xdr:row>
      <xdr:rowOff>129540</xdr:rowOff>
    </xdr:from>
    <xdr:to>
      <xdr:col>0</xdr:col>
      <xdr:colOff>1828800</xdr:colOff>
      <xdr:row>12</xdr:row>
      <xdr:rowOff>17780</xdr:rowOff>
    </xdr:to>
    <xdr:sp macro="[0]!Go_to_summary" textlink="">
      <xdr:nvSpPr>
        <xdr:cNvPr id="56" name="Rounded Rectangle 25" descr="96f34ca7-e089-4b8d-8f5e-8740932a4329">
          <a:hlinkClick xmlns:r="http://schemas.openxmlformats.org/officeDocument/2006/relationships" r:id="rId20"/>
          <a:extLst>
            <a:ext uri="{FF2B5EF4-FFF2-40B4-BE49-F238E27FC236}">
              <a16:creationId xmlns:a16="http://schemas.microsoft.com/office/drawing/2014/main" id="{00000000-0008-0000-0600-000038000000}"/>
            </a:ext>
          </a:extLst>
        </xdr:cNvPr>
        <xdr:cNvSpPr/>
      </xdr:nvSpPr>
      <xdr:spPr>
        <a:xfrm>
          <a:off x="180975" y="32099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oneCell">
    <xdr:from>
      <xdr:col>3</xdr:col>
      <xdr:colOff>723900</xdr:colOff>
      <xdr:row>7</xdr:row>
      <xdr:rowOff>9525</xdr:rowOff>
    </xdr:from>
    <xdr:to>
      <xdr:col>3</xdr:col>
      <xdr:colOff>860656</xdr:colOff>
      <xdr:row>8</xdr:row>
      <xdr:rowOff>0</xdr:rowOff>
    </xdr:to>
    <xdr:pic macro="[0]!DataE_Parameter">
      <xdr:nvPicPr>
        <xdr:cNvPr id="54" name="Picture 53">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10"/>
        <a:stretch>
          <a:fillRect/>
        </a:stretch>
      </xdr:blipFill>
      <xdr:spPr>
        <a:xfrm>
          <a:off x="5867400" y="3800475"/>
          <a:ext cx="137391" cy="133350"/>
        </a:xfrm>
        <a:prstGeom prst="rect">
          <a:avLst/>
        </a:prstGeom>
      </xdr:spPr>
    </xdr:pic>
    <xdr:clientData/>
  </xdr:twoCellAnchor>
  <xdr:twoCellAnchor editAs="absolute">
    <xdr:from>
      <xdr:col>0</xdr:col>
      <xdr:colOff>167640</xdr:colOff>
      <xdr:row>13</xdr:row>
      <xdr:rowOff>21590</xdr:rowOff>
    </xdr:from>
    <xdr:to>
      <xdr:col>0</xdr:col>
      <xdr:colOff>1812290</xdr:colOff>
      <xdr:row>15</xdr:row>
      <xdr:rowOff>55880</xdr:rowOff>
    </xdr:to>
    <xdr:sp macro="" textlink="">
      <xdr:nvSpPr>
        <xdr:cNvPr id="57" name="Rounded Rectangle 25" descr="2ece0659-9d49-483a-89fb-73491695f915">
          <a:hlinkClick xmlns:r="http://schemas.openxmlformats.org/officeDocument/2006/relationships" r:id="rId21"/>
          <a:extLst>
            <a:ext uri="{FF2B5EF4-FFF2-40B4-BE49-F238E27FC236}">
              <a16:creationId xmlns:a16="http://schemas.microsoft.com/office/drawing/2014/main" id="{00000000-0008-0000-0600-000039000000}"/>
            </a:ext>
          </a:extLst>
        </xdr:cNvPr>
        <xdr:cNvSpPr/>
      </xdr:nvSpPr>
      <xdr:spPr>
        <a:xfrm>
          <a:off x="171450" y="36766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167640</xdr:colOff>
      <xdr:row>16</xdr:row>
      <xdr:rowOff>53340</xdr:rowOff>
    </xdr:from>
    <xdr:to>
      <xdr:col>0</xdr:col>
      <xdr:colOff>1812290</xdr:colOff>
      <xdr:row>18</xdr:row>
      <xdr:rowOff>94615</xdr:rowOff>
    </xdr:to>
    <xdr:sp macro="" textlink="">
      <xdr:nvSpPr>
        <xdr:cNvPr id="58" name="Rounded Rectangle 25" descr="466d97bb-e481-48d8-9e51-bef3d7e1d9db">
          <a:hlinkClick xmlns:r="http://schemas.openxmlformats.org/officeDocument/2006/relationships" r:id="rId22"/>
          <a:extLst>
            <a:ext uri="{FF2B5EF4-FFF2-40B4-BE49-F238E27FC236}">
              <a16:creationId xmlns:a16="http://schemas.microsoft.com/office/drawing/2014/main" id="{00000000-0008-0000-0600-00003A000000}"/>
            </a:ext>
          </a:extLst>
        </xdr:cNvPr>
        <xdr:cNvSpPr/>
      </xdr:nvSpPr>
      <xdr:spPr>
        <a:xfrm>
          <a:off x="171450" y="41338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167640</xdr:colOff>
      <xdr:row>19</xdr:row>
      <xdr:rowOff>76200</xdr:rowOff>
    </xdr:from>
    <xdr:to>
      <xdr:col>0</xdr:col>
      <xdr:colOff>1812290</xdr:colOff>
      <xdr:row>21</xdr:row>
      <xdr:rowOff>130810</xdr:rowOff>
    </xdr:to>
    <xdr:sp macro="" textlink="">
      <xdr:nvSpPr>
        <xdr:cNvPr id="59" name="Rounded Rectangle 25" descr="8709ec8d-d9c8-45e5-a615-349643c9c29a">
          <a:hlinkClick xmlns:r="http://schemas.openxmlformats.org/officeDocument/2006/relationships" r:id="rId23"/>
          <a:extLst>
            <a:ext uri="{FF2B5EF4-FFF2-40B4-BE49-F238E27FC236}">
              <a16:creationId xmlns:a16="http://schemas.microsoft.com/office/drawing/2014/main" id="{00000000-0008-0000-0600-00003B000000}"/>
            </a:ext>
          </a:extLst>
        </xdr:cNvPr>
        <xdr:cNvSpPr/>
      </xdr:nvSpPr>
      <xdr:spPr>
        <a:xfrm>
          <a:off x="171450" y="45815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oneCellAnchor>
    <xdr:from>
      <xdr:col>1</xdr:col>
      <xdr:colOff>1419225</xdr:colOff>
      <xdr:row>18</xdr:row>
      <xdr:rowOff>0</xdr:rowOff>
    </xdr:from>
    <xdr:ext cx="137391" cy="133350"/>
    <xdr:pic macro="[0]!capital_cost">
      <xdr:nvPicPr>
        <xdr:cNvPr id="60" name="Picture 59">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0"/>
        <a:stretch>
          <a:fillRect/>
        </a:stretch>
      </xdr:blipFill>
      <xdr:spPr>
        <a:xfrm>
          <a:off x="3467100" y="4505325"/>
          <a:ext cx="137391" cy="133350"/>
        </a:xfrm>
        <a:prstGeom prst="rect">
          <a:avLst/>
        </a:prstGeom>
      </xdr:spPr>
    </xdr:pic>
    <xdr:clientData/>
  </xdr:oneCellAnchor>
  <xdr:twoCellAnchor editAs="oneCell">
    <xdr:from>
      <xdr:col>1</xdr:col>
      <xdr:colOff>718185</xdr:colOff>
      <xdr:row>60</xdr:row>
      <xdr:rowOff>13335</xdr:rowOff>
    </xdr:from>
    <xdr:to>
      <xdr:col>1</xdr:col>
      <xdr:colOff>858659</xdr:colOff>
      <xdr:row>61</xdr:row>
      <xdr:rowOff>2679</xdr:rowOff>
    </xdr:to>
    <xdr:pic macro="[0]!catalyst">
      <xdr:nvPicPr>
        <xdr:cNvPr id="61" name="Picture 60">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1"/>
        <a:stretch>
          <a:fillRect/>
        </a:stretch>
      </xdr:blipFill>
      <xdr:spPr>
        <a:xfrm>
          <a:off x="2766060" y="12348210"/>
          <a:ext cx="134124" cy="132219"/>
        </a:xfrm>
        <a:prstGeom prst="rect">
          <a:avLst/>
        </a:prstGeom>
      </xdr:spPr>
    </xdr:pic>
    <xdr:clientData/>
  </xdr:twoCellAnchor>
  <xdr:twoCellAnchor editAs="oneCell">
    <xdr:from>
      <xdr:col>1</xdr:col>
      <xdr:colOff>1400175</xdr:colOff>
      <xdr:row>55</xdr:row>
      <xdr:rowOff>9525</xdr:rowOff>
    </xdr:from>
    <xdr:to>
      <xdr:col>1</xdr:col>
      <xdr:colOff>1544459</xdr:colOff>
      <xdr:row>56</xdr:row>
      <xdr:rowOff>774</xdr:rowOff>
    </xdr:to>
    <xdr:pic macro="[0]!economic_solvent">
      <xdr:nvPicPr>
        <xdr:cNvPr id="62" name="Picture 61">
          <a:extLst>
            <a:ext uri="{FF2B5EF4-FFF2-40B4-BE49-F238E27FC236}">
              <a16:creationId xmlns:a16="http://schemas.microsoft.com/office/drawing/2014/main" id="{39A56D8E-7154-44F1-B7C4-AFA6CB3168F7}"/>
            </a:ext>
          </a:extLst>
        </xdr:cNvPr>
        <xdr:cNvPicPr>
          <a:picLocks noChangeAspect="1"/>
        </xdr:cNvPicPr>
      </xdr:nvPicPr>
      <xdr:blipFill>
        <a:blip xmlns:r="http://schemas.openxmlformats.org/officeDocument/2006/relationships" r:embed="rId11"/>
        <a:stretch>
          <a:fillRect/>
        </a:stretch>
      </xdr:blipFill>
      <xdr:spPr>
        <a:xfrm>
          <a:off x="3448050" y="11630025"/>
          <a:ext cx="134124" cy="134124"/>
        </a:xfrm>
        <a:prstGeom prst="rect">
          <a:avLst/>
        </a:prstGeom>
      </xdr:spPr>
    </xdr:pic>
    <xdr:clientData/>
  </xdr:twoCellAnchor>
  <xdr:twoCellAnchor editAs="oneCell">
    <xdr:from>
      <xdr:col>1</xdr:col>
      <xdr:colOff>1428750</xdr:colOff>
      <xdr:row>46</xdr:row>
      <xdr:rowOff>9525</xdr:rowOff>
    </xdr:from>
    <xdr:to>
      <xdr:col>1</xdr:col>
      <xdr:colOff>1562874</xdr:colOff>
      <xdr:row>47</xdr:row>
      <xdr:rowOff>774</xdr:rowOff>
    </xdr:to>
    <xdr:pic macro="[0]!economic_energy">
      <xdr:nvPicPr>
        <xdr:cNvPr id="49" name="Picture 48">
          <a:extLst>
            <a:ext uri="{FF2B5EF4-FFF2-40B4-BE49-F238E27FC236}">
              <a16:creationId xmlns:a16="http://schemas.microsoft.com/office/drawing/2014/main" id="{16E96E56-722F-4EAC-847B-FDCD3FE0A7D0}"/>
            </a:ext>
          </a:extLst>
        </xdr:cNvPr>
        <xdr:cNvPicPr>
          <a:picLocks noChangeAspect="1"/>
        </xdr:cNvPicPr>
      </xdr:nvPicPr>
      <xdr:blipFill>
        <a:blip xmlns:r="http://schemas.openxmlformats.org/officeDocument/2006/relationships" r:embed="rId11"/>
        <a:stretch>
          <a:fillRect/>
        </a:stretch>
      </xdr:blipFill>
      <xdr:spPr>
        <a:xfrm>
          <a:off x="3476625" y="8591550"/>
          <a:ext cx="134124" cy="1341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278130</xdr:colOff>
      <xdr:row>0</xdr:row>
      <xdr:rowOff>93345</xdr:rowOff>
    </xdr:from>
    <xdr:to>
      <xdr:col>10</xdr:col>
      <xdr:colOff>761365</xdr:colOff>
      <xdr:row>0</xdr:row>
      <xdr:rowOff>1771227</xdr:rowOff>
    </xdr:to>
    <xdr:grpSp>
      <xdr:nvGrpSpPr>
        <xdr:cNvPr id="53" name="Group 52">
          <a:extLst>
            <a:ext uri="{FF2B5EF4-FFF2-40B4-BE49-F238E27FC236}">
              <a16:creationId xmlns:a16="http://schemas.microsoft.com/office/drawing/2014/main" id="{9D455215-3355-4FF3-AD6D-E4A15C39A236}"/>
            </a:ext>
          </a:extLst>
        </xdr:cNvPr>
        <xdr:cNvGrpSpPr/>
      </xdr:nvGrpSpPr>
      <xdr:grpSpPr>
        <a:xfrm>
          <a:off x="281940" y="97155"/>
          <a:ext cx="16452850" cy="1677882"/>
          <a:chOff x="171450" y="91441"/>
          <a:chExt cx="16462375" cy="1683597"/>
        </a:xfrm>
      </xdr:grpSpPr>
      <xdr:pic>
        <xdr:nvPicPr>
          <xdr:cNvPr id="54" name="Picture 53">
            <a:extLst>
              <a:ext uri="{FF2B5EF4-FFF2-40B4-BE49-F238E27FC236}">
                <a16:creationId xmlns:a16="http://schemas.microsoft.com/office/drawing/2014/main" id="{5605DC72-E80E-4C1A-B607-5C7B65031896}"/>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5" name="Group 54">
            <a:extLst>
              <a:ext uri="{FF2B5EF4-FFF2-40B4-BE49-F238E27FC236}">
                <a16:creationId xmlns:a16="http://schemas.microsoft.com/office/drawing/2014/main" id="{5F80E836-2F67-4B9B-9058-690E2AB284B4}"/>
              </a:ext>
            </a:extLst>
          </xdr:cNvPr>
          <xdr:cNvGrpSpPr/>
        </xdr:nvGrpSpPr>
        <xdr:grpSpPr>
          <a:xfrm>
            <a:off x="167640" y="95251"/>
            <a:ext cx="16462375" cy="1675977"/>
            <a:chOff x="167640" y="95251"/>
            <a:chExt cx="16462375" cy="1675977"/>
          </a:xfrm>
        </xdr:grpSpPr>
        <xdr:grpSp>
          <xdr:nvGrpSpPr>
            <xdr:cNvPr id="56" name="Group 55">
              <a:extLst>
                <a:ext uri="{FF2B5EF4-FFF2-40B4-BE49-F238E27FC236}">
                  <a16:creationId xmlns:a16="http://schemas.microsoft.com/office/drawing/2014/main" id="{8BEB07EE-CE46-4020-B1D2-A6AA42C8DB85}"/>
                </a:ext>
              </a:extLst>
            </xdr:cNvPr>
            <xdr:cNvGrpSpPr/>
          </xdr:nvGrpSpPr>
          <xdr:grpSpPr>
            <a:xfrm>
              <a:off x="171450" y="91441"/>
              <a:ext cx="16462375" cy="1683597"/>
              <a:chOff x="171449" y="38100"/>
              <a:chExt cx="16659225" cy="1704975"/>
            </a:xfrm>
          </xdr:grpSpPr>
          <xdr:grpSp>
            <xdr:nvGrpSpPr>
              <xdr:cNvPr id="58" name="Group 57">
                <a:extLst>
                  <a:ext uri="{FF2B5EF4-FFF2-40B4-BE49-F238E27FC236}">
                    <a16:creationId xmlns:a16="http://schemas.microsoft.com/office/drawing/2014/main" id="{71FCDA9D-7A67-491D-8F33-CBEBF75A6584}"/>
                  </a:ext>
                </a:extLst>
              </xdr:cNvPr>
              <xdr:cNvGrpSpPr/>
            </xdr:nvGrpSpPr>
            <xdr:grpSpPr>
              <a:xfrm>
                <a:off x="171449" y="38100"/>
                <a:ext cx="16659225" cy="1704975"/>
                <a:chOff x="171449" y="38100"/>
                <a:chExt cx="16659225" cy="1704975"/>
              </a:xfrm>
            </xdr:grpSpPr>
            <xdr:pic>
              <xdr:nvPicPr>
                <xdr:cNvPr id="61" name="Picture 60" descr="catalisti.be">
                  <a:extLst>
                    <a:ext uri="{FF2B5EF4-FFF2-40B4-BE49-F238E27FC236}">
                      <a16:creationId xmlns:a16="http://schemas.microsoft.com/office/drawing/2014/main" id="{1295B3CE-1DD5-4F09-BAD8-9A3FB12EDE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2" name="Rectangle 61">
                  <a:extLst>
                    <a:ext uri="{FF2B5EF4-FFF2-40B4-BE49-F238E27FC236}">
                      <a16:creationId xmlns:a16="http://schemas.microsoft.com/office/drawing/2014/main" id="{6197C000-6665-4B4E-A838-E61B245C7616}"/>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3" name="Rectangle: Rounded Corners 62">
                  <a:extLst>
                    <a:ext uri="{FF2B5EF4-FFF2-40B4-BE49-F238E27FC236}">
                      <a16:creationId xmlns:a16="http://schemas.microsoft.com/office/drawing/2014/main" id="{65BDEBB2-FADF-4CBF-9CB8-E5FAD64971AB}"/>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4" name="Picture 63">
                  <a:extLst>
                    <a:ext uri="{FF2B5EF4-FFF2-40B4-BE49-F238E27FC236}">
                      <a16:creationId xmlns:a16="http://schemas.microsoft.com/office/drawing/2014/main" id="{41B35F7F-0267-48A8-9329-D9609A5DBD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5" name="Picture 64">
                  <a:extLst>
                    <a:ext uri="{FF2B5EF4-FFF2-40B4-BE49-F238E27FC236}">
                      <a16:creationId xmlns:a16="http://schemas.microsoft.com/office/drawing/2014/main" id="{91DDE84E-FEC5-4761-8D83-F22F0869FFC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6" name="Picture 65">
                  <a:extLst>
                    <a:ext uri="{FF2B5EF4-FFF2-40B4-BE49-F238E27FC236}">
                      <a16:creationId xmlns:a16="http://schemas.microsoft.com/office/drawing/2014/main" id="{DB98C92C-97AD-4ECA-8F6D-4980BA7DB1A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7" name="Picture 66">
                  <a:extLst>
                    <a:ext uri="{FF2B5EF4-FFF2-40B4-BE49-F238E27FC236}">
                      <a16:creationId xmlns:a16="http://schemas.microsoft.com/office/drawing/2014/main" id="{B14027C5-41A1-4D75-8F3E-F2BFE18218B6}"/>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9" name="Picture 58">
                <a:extLst>
                  <a:ext uri="{FF2B5EF4-FFF2-40B4-BE49-F238E27FC236}">
                    <a16:creationId xmlns:a16="http://schemas.microsoft.com/office/drawing/2014/main" id="{8BBFFFE9-1E60-4591-905A-E54A7869B3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0" name="TextBox 59">
                <a:extLst>
                  <a:ext uri="{FF2B5EF4-FFF2-40B4-BE49-F238E27FC236}">
                    <a16:creationId xmlns:a16="http://schemas.microsoft.com/office/drawing/2014/main" id="{21882120-F41D-41F4-BD7C-5EF3F6071732}"/>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7" name="Picture 56">
              <a:extLst>
                <a:ext uri="{FF2B5EF4-FFF2-40B4-BE49-F238E27FC236}">
                  <a16:creationId xmlns:a16="http://schemas.microsoft.com/office/drawing/2014/main" id="{0CA14A8B-D591-4650-94D9-A7ECDF50EA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oneCell">
    <xdr:from>
      <xdr:col>3</xdr:col>
      <xdr:colOff>352425</xdr:colOff>
      <xdr:row>3</xdr:row>
      <xdr:rowOff>28575</xdr:rowOff>
    </xdr:from>
    <xdr:to>
      <xdr:col>3</xdr:col>
      <xdr:colOff>552087</xdr:colOff>
      <xdr:row>3</xdr:row>
      <xdr:rowOff>229760</xdr:rowOff>
    </xdr:to>
    <xdr:pic macro="[0]!Data_Environmental">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9"/>
        <a:stretch>
          <a:fillRect/>
        </a:stretch>
      </xdr:blipFill>
      <xdr:spPr>
        <a:xfrm>
          <a:off x="5495925" y="2143125"/>
          <a:ext cx="207282" cy="201185"/>
        </a:xfrm>
        <a:prstGeom prst="rect">
          <a:avLst/>
        </a:prstGeom>
      </xdr:spPr>
    </xdr:pic>
    <xdr:clientData/>
  </xdr:twoCellAnchor>
  <xdr:twoCellAnchor editAs="oneCell">
    <xdr:from>
      <xdr:col>0</xdr:col>
      <xdr:colOff>523875</xdr:colOff>
      <xdr:row>72</xdr:row>
      <xdr:rowOff>171450</xdr:rowOff>
    </xdr:from>
    <xdr:to>
      <xdr:col>0</xdr:col>
      <xdr:colOff>1430655</xdr:colOff>
      <xdr:row>76</xdr:row>
      <xdr:rowOff>131445</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21970" y="13455015"/>
          <a:ext cx="904875" cy="691515"/>
          <a:chOff x="12771120" y="8145780"/>
          <a:chExt cx="906780" cy="739140"/>
        </a:xfrm>
      </xdr:grpSpPr>
      <xdr:pic macro="[0]!Top_of_page">
        <xdr:nvPicPr>
          <xdr:cNvPr id="20" name="Picture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1" name="TextBox 20">
            <a:extLst>
              <a:ext uri="{FF2B5EF4-FFF2-40B4-BE49-F238E27FC236}">
                <a16:creationId xmlns:a16="http://schemas.microsoft.com/office/drawing/2014/main" id="{00000000-0008-0000-0700-000015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4</xdr:col>
      <xdr:colOff>904875</xdr:colOff>
      <xdr:row>7</xdr:row>
      <xdr:rowOff>9525</xdr:rowOff>
    </xdr:from>
    <xdr:to>
      <xdr:col>4</xdr:col>
      <xdr:colOff>1049886</xdr:colOff>
      <xdr:row>8</xdr:row>
      <xdr:rowOff>0</xdr:rowOff>
    </xdr:to>
    <xdr:pic macro="[0]!Unit">
      <xdr:nvPicPr>
        <xdr:cNvPr id="41" name="Picture 40">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9"/>
        <a:stretch>
          <a:fillRect/>
        </a:stretch>
      </xdr:blipFill>
      <xdr:spPr>
        <a:xfrm>
          <a:off x="8763000" y="4086225"/>
          <a:ext cx="137391" cy="133350"/>
        </a:xfrm>
        <a:prstGeom prst="rect">
          <a:avLst/>
        </a:prstGeom>
      </xdr:spPr>
    </xdr:pic>
    <xdr:clientData/>
  </xdr:twoCellAnchor>
  <xdr:twoCellAnchor editAs="oneCell">
    <xdr:from>
      <xdr:col>5</xdr:col>
      <xdr:colOff>1085850</xdr:colOff>
      <xdr:row>7</xdr:row>
      <xdr:rowOff>9525</xdr:rowOff>
    </xdr:from>
    <xdr:to>
      <xdr:col>5</xdr:col>
      <xdr:colOff>1230861</xdr:colOff>
      <xdr:row>8</xdr:row>
      <xdr:rowOff>0</xdr:rowOff>
    </xdr:to>
    <xdr:pic macro="[0]!Indicative_value">
      <xdr:nvPicPr>
        <xdr:cNvPr id="42" name="Picture 4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9"/>
        <a:stretch>
          <a:fillRect/>
        </a:stretch>
      </xdr:blipFill>
      <xdr:spPr>
        <a:xfrm>
          <a:off x="9991725" y="3800475"/>
          <a:ext cx="137391" cy="133350"/>
        </a:xfrm>
        <a:prstGeom prst="rect">
          <a:avLst/>
        </a:prstGeom>
      </xdr:spPr>
    </xdr:pic>
    <xdr:clientData/>
  </xdr:twoCellAnchor>
  <xdr:twoCellAnchor editAs="oneCell">
    <xdr:from>
      <xdr:col>6</xdr:col>
      <xdr:colOff>771525</xdr:colOff>
      <xdr:row>7</xdr:row>
      <xdr:rowOff>9524</xdr:rowOff>
    </xdr:from>
    <xdr:to>
      <xdr:col>6</xdr:col>
      <xdr:colOff>901296</xdr:colOff>
      <xdr:row>7</xdr:row>
      <xdr:rowOff>137159</xdr:rowOff>
    </xdr:to>
    <xdr:pic macro="[0]!Parameterrange">
      <xdr:nvPicPr>
        <xdr:cNvPr id="43" name="Picture 42">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9"/>
        <a:stretch>
          <a:fillRect/>
        </a:stretch>
      </xdr:blipFill>
      <xdr:spPr>
        <a:xfrm>
          <a:off x="11058525" y="3800474"/>
          <a:ext cx="137391" cy="133350"/>
        </a:xfrm>
        <a:prstGeom prst="rect">
          <a:avLst/>
        </a:prstGeom>
      </xdr:spPr>
    </xdr:pic>
    <xdr:clientData/>
  </xdr:twoCellAnchor>
  <xdr:twoCellAnchor editAs="oneCell">
    <xdr:from>
      <xdr:col>8</xdr:col>
      <xdr:colOff>95250</xdr:colOff>
      <xdr:row>5</xdr:row>
      <xdr:rowOff>133350</xdr:rowOff>
    </xdr:from>
    <xdr:to>
      <xdr:col>8</xdr:col>
      <xdr:colOff>240261</xdr:colOff>
      <xdr:row>6</xdr:row>
      <xdr:rowOff>129540</xdr:rowOff>
    </xdr:to>
    <xdr:pic macro="[0]!Pathwayvalues">
      <xdr:nvPicPr>
        <xdr:cNvPr id="47" name="Picture 46">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9"/>
        <a:stretch>
          <a:fillRect/>
        </a:stretch>
      </xdr:blipFill>
      <xdr:spPr>
        <a:xfrm>
          <a:off x="12344400" y="3638550"/>
          <a:ext cx="137391" cy="133350"/>
        </a:xfrm>
        <a:prstGeom prst="rect">
          <a:avLst/>
        </a:prstGeom>
      </xdr:spPr>
    </xdr:pic>
    <xdr:clientData/>
  </xdr:twoCellAnchor>
  <xdr:twoCellAnchor editAs="oneCell">
    <xdr:from>
      <xdr:col>7</xdr:col>
      <xdr:colOff>828675</xdr:colOff>
      <xdr:row>7</xdr:row>
      <xdr:rowOff>9525</xdr:rowOff>
    </xdr:from>
    <xdr:to>
      <xdr:col>7</xdr:col>
      <xdr:colOff>968514</xdr:colOff>
      <xdr:row>8</xdr:row>
      <xdr:rowOff>774</xdr:rowOff>
    </xdr:to>
    <xdr:pic macro="[0]!Data_type">
      <xdr:nvPicPr>
        <xdr:cNvPr id="48" name="Picture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11"/>
        <a:stretch>
          <a:fillRect/>
        </a:stretch>
      </xdr:blipFill>
      <xdr:spPr>
        <a:xfrm>
          <a:off x="12163425" y="4086225"/>
          <a:ext cx="134124" cy="134124"/>
        </a:xfrm>
        <a:prstGeom prst="rect">
          <a:avLst/>
        </a:prstGeom>
      </xdr:spPr>
    </xdr:pic>
    <xdr:clientData/>
  </xdr:twoCellAnchor>
  <xdr:twoCellAnchor editAs="oneCell">
    <xdr:from>
      <xdr:col>1</xdr:col>
      <xdr:colOff>1617134</xdr:colOff>
      <xdr:row>8</xdr:row>
      <xdr:rowOff>9525</xdr:rowOff>
    </xdr:from>
    <xdr:to>
      <xdr:col>1</xdr:col>
      <xdr:colOff>1751258</xdr:colOff>
      <xdr:row>9</xdr:row>
      <xdr:rowOff>774</xdr:rowOff>
    </xdr:to>
    <xdr:pic macro="[0]!Characterization_factor">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1"/>
        <a:stretch>
          <a:fillRect/>
        </a:stretch>
      </xdr:blipFill>
      <xdr:spPr>
        <a:xfrm>
          <a:off x="3716867" y="2955925"/>
          <a:ext cx="134124" cy="135182"/>
        </a:xfrm>
        <a:prstGeom prst="rect">
          <a:avLst/>
        </a:prstGeom>
      </xdr:spPr>
    </xdr:pic>
    <xdr:clientData/>
  </xdr:twoCellAnchor>
  <xdr:twoCellAnchor editAs="absolute">
    <xdr:from>
      <xdr:col>0</xdr:col>
      <xdr:colOff>169545</xdr:colOff>
      <xdr:row>9</xdr:row>
      <xdr:rowOff>133350</xdr:rowOff>
    </xdr:from>
    <xdr:to>
      <xdr:col>0</xdr:col>
      <xdr:colOff>1828800</xdr:colOff>
      <xdr:row>11</xdr:row>
      <xdr:rowOff>93345</xdr:rowOff>
    </xdr:to>
    <xdr:sp macro="[0]!Go_to_summary" textlink="">
      <xdr:nvSpPr>
        <xdr:cNvPr id="22" name="Rounded Rectangle 25" descr="bd7ac92f-ca75-46b0-9ed0-7d02da460d4e">
          <a:hlinkClick xmlns:r="http://schemas.openxmlformats.org/officeDocument/2006/relationships" r:id="rId12"/>
          <a:extLst>
            <a:ext uri="{FF2B5EF4-FFF2-40B4-BE49-F238E27FC236}">
              <a16:creationId xmlns:a16="http://schemas.microsoft.com/office/drawing/2014/main" id="{00000000-0008-0000-0700-000016000000}"/>
            </a:ext>
          </a:extLst>
        </xdr:cNvPr>
        <xdr:cNvSpPr/>
      </xdr:nvSpPr>
      <xdr:spPr>
        <a:xfrm>
          <a:off x="180975" y="32099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absolute">
    <xdr:from>
      <xdr:col>0</xdr:col>
      <xdr:colOff>169545</xdr:colOff>
      <xdr:row>12</xdr:row>
      <xdr:rowOff>55245</xdr:rowOff>
    </xdr:from>
    <xdr:to>
      <xdr:col>0</xdr:col>
      <xdr:colOff>1828800</xdr:colOff>
      <xdr:row>14</xdr:row>
      <xdr:rowOff>34290</xdr:rowOff>
    </xdr:to>
    <xdr:sp macro="" textlink="">
      <xdr:nvSpPr>
        <xdr:cNvPr id="23" name="Rounded Rectangle 25" descr="848c7d2e-34d1-498d-a0d6-da40a3268021">
          <a:hlinkClick xmlns:r="http://schemas.openxmlformats.org/officeDocument/2006/relationships" r:id="rId13"/>
          <a:extLst>
            <a:ext uri="{FF2B5EF4-FFF2-40B4-BE49-F238E27FC236}">
              <a16:creationId xmlns:a16="http://schemas.microsoft.com/office/drawing/2014/main" id="{00000000-0008-0000-0700-000017000000}"/>
            </a:ext>
          </a:extLst>
        </xdr:cNvPr>
        <xdr:cNvSpPr/>
      </xdr:nvSpPr>
      <xdr:spPr>
        <a:xfrm>
          <a:off x="180975" y="36861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169545</xdr:colOff>
      <xdr:row>15</xdr:row>
      <xdr:rowOff>0</xdr:rowOff>
    </xdr:from>
    <xdr:to>
      <xdr:col>0</xdr:col>
      <xdr:colOff>1828800</xdr:colOff>
      <xdr:row>16</xdr:row>
      <xdr:rowOff>129540</xdr:rowOff>
    </xdr:to>
    <xdr:sp macro="" textlink="">
      <xdr:nvSpPr>
        <xdr:cNvPr id="24" name="Rounded Rectangle 25" descr="676a46c6-c48d-447f-a350-57bbb8a49381">
          <a:hlinkClick xmlns:r="http://schemas.openxmlformats.org/officeDocument/2006/relationships" r:id="rId14"/>
          <a:extLst>
            <a:ext uri="{FF2B5EF4-FFF2-40B4-BE49-F238E27FC236}">
              <a16:creationId xmlns:a16="http://schemas.microsoft.com/office/drawing/2014/main" id="{00000000-0008-0000-0700-000018000000}"/>
            </a:ext>
          </a:extLst>
        </xdr:cNvPr>
        <xdr:cNvSpPr/>
      </xdr:nvSpPr>
      <xdr:spPr>
        <a:xfrm>
          <a:off x="180975" y="41433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169545</xdr:colOff>
      <xdr:row>17</xdr:row>
      <xdr:rowOff>55245</xdr:rowOff>
    </xdr:from>
    <xdr:to>
      <xdr:col>0</xdr:col>
      <xdr:colOff>1828800</xdr:colOff>
      <xdr:row>19</xdr:row>
      <xdr:rowOff>34290</xdr:rowOff>
    </xdr:to>
    <xdr:sp macro="" textlink="">
      <xdr:nvSpPr>
        <xdr:cNvPr id="25" name="Rounded Rectangle 25" descr="9cf99cdf-96d3-432b-8ce1-1644d942f157">
          <a:hlinkClick xmlns:r="http://schemas.openxmlformats.org/officeDocument/2006/relationships" r:id="rId15"/>
          <a:extLst>
            <a:ext uri="{FF2B5EF4-FFF2-40B4-BE49-F238E27FC236}">
              <a16:creationId xmlns:a16="http://schemas.microsoft.com/office/drawing/2014/main" id="{00000000-0008-0000-0700-000019000000}"/>
            </a:ext>
          </a:extLst>
        </xdr:cNvPr>
        <xdr:cNvSpPr/>
      </xdr:nvSpPr>
      <xdr:spPr>
        <a:xfrm>
          <a:off x="180975" y="45910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twoCellAnchor editAs="oneCell">
    <xdr:from>
      <xdr:col>1</xdr:col>
      <xdr:colOff>1409700</xdr:colOff>
      <xdr:row>44</xdr:row>
      <xdr:rowOff>28575</xdr:rowOff>
    </xdr:from>
    <xdr:to>
      <xdr:col>1</xdr:col>
      <xdr:colOff>1543824</xdr:colOff>
      <xdr:row>45</xdr:row>
      <xdr:rowOff>774</xdr:rowOff>
    </xdr:to>
    <xdr:pic macro="[0]!Greenmetrics_solvent">
      <xdr:nvPicPr>
        <xdr:cNvPr id="26" name="Pictur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1"/>
        <a:stretch>
          <a:fillRect/>
        </a:stretch>
      </xdr:blipFill>
      <xdr:spPr>
        <a:xfrm>
          <a:off x="3457575" y="10325100"/>
          <a:ext cx="134124" cy="134124"/>
        </a:xfrm>
        <a:prstGeom prst="rect">
          <a:avLst/>
        </a:prstGeom>
      </xdr:spPr>
    </xdr:pic>
    <xdr:clientData/>
  </xdr:twoCellAnchor>
  <xdr:twoCellAnchor editAs="oneCell">
    <xdr:from>
      <xdr:col>1</xdr:col>
      <xdr:colOff>1009650</xdr:colOff>
      <xdr:row>21</xdr:row>
      <xdr:rowOff>133350</xdr:rowOff>
    </xdr:from>
    <xdr:to>
      <xdr:col>1</xdr:col>
      <xdr:colOff>1143774</xdr:colOff>
      <xdr:row>22</xdr:row>
      <xdr:rowOff>130314</xdr:rowOff>
    </xdr:to>
    <xdr:pic macro="[0]!Impact_factor">
      <xdr:nvPicPr>
        <xdr:cNvPr id="28" name="Picture 27">
          <a:extLst>
            <a:ext uri="{FF2B5EF4-FFF2-40B4-BE49-F238E27FC236}">
              <a16:creationId xmlns:a16="http://schemas.microsoft.com/office/drawing/2014/main" id="{565E91C0-D764-48CC-B58D-1422242D35C3}"/>
            </a:ext>
          </a:extLst>
        </xdr:cNvPr>
        <xdr:cNvPicPr>
          <a:picLocks noChangeAspect="1"/>
        </xdr:cNvPicPr>
      </xdr:nvPicPr>
      <xdr:blipFill>
        <a:blip xmlns:r="http://schemas.openxmlformats.org/officeDocument/2006/relationships" r:embed="rId11"/>
        <a:stretch>
          <a:fillRect/>
        </a:stretch>
      </xdr:blipFill>
      <xdr:spPr>
        <a:xfrm>
          <a:off x="3057525" y="6591300"/>
          <a:ext cx="134124" cy="134124"/>
        </a:xfrm>
        <a:prstGeom prst="rect">
          <a:avLst/>
        </a:prstGeom>
      </xdr:spPr>
    </xdr:pic>
    <xdr:clientData/>
  </xdr:twoCellAnchor>
  <xdr:twoCellAnchor editAs="absolute">
    <xdr:from>
      <xdr:col>0</xdr:col>
      <xdr:colOff>358140</xdr:colOff>
      <xdr:row>4</xdr:row>
      <xdr:rowOff>129540</xdr:rowOff>
    </xdr:from>
    <xdr:to>
      <xdr:col>0</xdr:col>
      <xdr:colOff>967740</xdr:colOff>
      <xdr:row>9</xdr:row>
      <xdr:rowOff>91440</xdr:rowOff>
    </xdr:to>
    <xdr:grpSp>
      <xdr:nvGrpSpPr>
        <xdr:cNvPr id="45" name="Group 44">
          <a:extLst>
            <a:ext uri="{FF2B5EF4-FFF2-40B4-BE49-F238E27FC236}">
              <a16:creationId xmlns:a16="http://schemas.microsoft.com/office/drawing/2014/main" id="{A167590C-9BEA-4573-A719-8B2D8C7B13A0}"/>
            </a:ext>
          </a:extLst>
        </xdr:cNvPr>
        <xdr:cNvGrpSpPr/>
      </xdr:nvGrpSpPr>
      <xdr:grpSpPr>
        <a:xfrm>
          <a:off x="361950" y="2495550"/>
          <a:ext cx="609600" cy="676275"/>
          <a:chOff x="12801600" y="129540"/>
          <a:chExt cx="609600" cy="685800"/>
        </a:xfrm>
      </xdr:grpSpPr>
      <xdr:pic macro="[0]!Previous_worksheet">
        <xdr:nvPicPr>
          <xdr:cNvPr id="46" name="Picture 45">
            <a:extLst>
              <a:ext uri="{FF2B5EF4-FFF2-40B4-BE49-F238E27FC236}">
                <a16:creationId xmlns:a16="http://schemas.microsoft.com/office/drawing/2014/main" id="{7DED68C0-A21E-4A69-BCA9-31D73D9D03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49" name="TextBox 48">
            <a:extLst>
              <a:ext uri="{FF2B5EF4-FFF2-40B4-BE49-F238E27FC236}">
                <a16:creationId xmlns:a16="http://schemas.microsoft.com/office/drawing/2014/main" id="{B02DC37D-F4B7-43B6-BD3B-7D25641EA273}"/>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1007745</xdr:colOff>
      <xdr:row>4</xdr:row>
      <xdr:rowOff>133350</xdr:rowOff>
    </xdr:from>
    <xdr:to>
      <xdr:col>0</xdr:col>
      <xdr:colOff>1617345</xdr:colOff>
      <xdr:row>9</xdr:row>
      <xdr:rowOff>72390</xdr:rowOff>
    </xdr:to>
    <xdr:grpSp>
      <xdr:nvGrpSpPr>
        <xdr:cNvPr id="50" name="Group 49">
          <a:extLst>
            <a:ext uri="{FF2B5EF4-FFF2-40B4-BE49-F238E27FC236}">
              <a16:creationId xmlns:a16="http://schemas.microsoft.com/office/drawing/2014/main" id="{9CB2F423-5109-40D7-8F6F-A741E1A76D10}"/>
            </a:ext>
          </a:extLst>
        </xdr:cNvPr>
        <xdr:cNvGrpSpPr/>
      </xdr:nvGrpSpPr>
      <xdr:grpSpPr>
        <a:xfrm>
          <a:off x="1011555" y="2491740"/>
          <a:ext cx="609600" cy="657225"/>
          <a:chOff x="13464540" y="68580"/>
          <a:chExt cx="609600" cy="662940"/>
        </a:xfrm>
      </xdr:grpSpPr>
      <xdr:pic macro="[0]!Next_worksheet">
        <xdr:nvPicPr>
          <xdr:cNvPr id="51" name="Picture 50">
            <a:extLst>
              <a:ext uri="{FF2B5EF4-FFF2-40B4-BE49-F238E27FC236}">
                <a16:creationId xmlns:a16="http://schemas.microsoft.com/office/drawing/2014/main" id="{A2A32285-E4F4-45FF-9C8C-E807C73DE46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52" name="TextBox 51">
            <a:extLst>
              <a:ext uri="{FF2B5EF4-FFF2-40B4-BE49-F238E27FC236}">
                <a16:creationId xmlns:a16="http://schemas.microsoft.com/office/drawing/2014/main" id="{836F1906-558E-447B-942D-63A425EE8CDB}"/>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0</xdr:row>
      <xdr:rowOff>76200</xdr:rowOff>
    </xdr:from>
    <xdr:to>
      <xdr:col>22</xdr:col>
      <xdr:colOff>180340</xdr:colOff>
      <xdr:row>0</xdr:row>
      <xdr:rowOff>1750272</xdr:rowOff>
    </xdr:to>
    <xdr:grpSp>
      <xdr:nvGrpSpPr>
        <xdr:cNvPr id="31" name="Group 30">
          <a:extLst>
            <a:ext uri="{FF2B5EF4-FFF2-40B4-BE49-F238E27FC236}">
              <a16:creationId xmlns:a16="http://schemas.microsoft.com/office/drawing/2014/main" id="{6753FDEF-F1B2-4FF3-A1FA-B3AB14DAE8E6}"/>
            </a:ext>
          </a:extLst>
        </xdr:cNvPr>
        <xdr:cNvGrpSpPr/>
      </xdr:nvGrpSpPr>
      <xdr:grpSpPr>
        <a:xfrm>
          <a:off x="266700" y="76200"/>
          <a:ext cx="16456660" cy="1674072"/>
          <a:chOff x="171450" y="91441"/>
          <a:chExt cx="16462375" cy="1683597"/>
        </a:xfrm>
      </xdr:grpSpPr>
      <xdr:pic>
        <xdr:nvPicPr>
          <xdr:cNvPr id="32" name="Picture 31">
            <a:extLst>
              <a:ext uri="{FF2B5EF4-FFF2-40B4-BE49-F238E27FC236}">
                <a16:creationId xmlns:a16="http://schemas.microsoft.com/office/drawing/2014/main" id="{B1F6FB28-BB0F-489B-802B-C426A9DB2E4C}"/>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33" name="Group 32">
            <a:extLst>
              <a:ext uri="{FF2B5EF4-FFF2-40B4-BE49-F238E27FC236}">
                <a16:creationId xmlns:a16="http://schemas.microsoft.com/office/drawing/2014/main" id="{0AD78366-404F-47AA-A095-B2ADABFFC2BD}"/>
              </a:ext>
            </a:extLst>
          </xdr:cNvPr>
          <xdr:cNvGrpSpPr/>
        </xdr:nvGrpSpPr>
        <xdr:grpSpPr>
          <a:xfrm>
            <a:off x="167640" y="95251"/>
            <a:ext cx="16462375" cy="1675977"/>
            <a:chOff x="167640" y="95251"/>
            <a:chExt cx="16462375" cy="1675977"/>
          </a:xfrm>
        </xdr:grpSpPr>
        <xdr:grpSp>
          <xdr:nvGrpSpPr>
            <xdr:cNvPr id="53" name="Group 52">
              <a:extLst>
                <a:ext uri="{FF2B5EF4-FFF2-40B4-BE49-F238E27FC236}">
                  <a16:creationId xmlns:a16="http://schemas.microsoft.com/office/drawing/2014/main" id="{060E3A8A-A210-430D-AC87-44B87805B3EE}"/>
                </a:ext>
              </a:extLst>
            </xdr:cNvPr>
            <xdr:cNvGrpSpPr/>
          </xdr:nvGrpSpPr>
          <xdr:grpSpPr>
            <a:xfrm>
              <a:off x="171450" y="91441"/>
              <a:ext cx="16462375" cy="1683597"/>
              <a:chOff x="171449" y="38100"/>
              <a:chExt cx="16659225" cy="1704975"/>
            </a:xfrm>
          </xdr:grpSpPr>
          <xdr:grpSp>
            <xdr:nvGrpSpPr>
              <xdr:cNvPr id="55" name="Group 54">
                <a:extLst>
                  <a:ext uri="{FF2B5EF4-FFF2-40B4-BE49-F238E27FC236}">
                    <a16:creationId xmlns:a16="http://schemas.microsoft.com/office/drawing/2014/main" id="{E150C445-EB3B-415E-AB09-66FF34FEEF22}"/>
                  </a:ext>
                </a:extLst>
              </xdr:cNvPr>
              <xdr:cNvGrpSpPr/>
            </xdr:nvGrpSpPr>
            <xdr:grpSpPr>
              <a:xfrm>
                <a:off x="171449" y="38100"/>
                <a:ext cx="16659225" cy="1704975"/>
                <a:chOff x="171449" y="38100"/>
                <a:chExt cx="16659225" cy="1704975"/>
              </a:xfrm>
            </xdr:grpSpPr>
            <xdr:pic>
              <xdr:nvPicPr>
                <xdr:cNvPr id="58" name="Picture 57" descr="catalisti.be">
                  <a:extLst>
                    <a:ext uri="{FF2B5EF4-FFF2-40B4-BE49-F238E27FC236}">
                      <a16:creationId xmlns:a16="http://schemas.microsoft.com/office/drawing/2014/main" id="{8FAA20D0-7307-45BA-80F1-C1BACFACCD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9" name="Rectangle 58">
                  <a:extLst>
                    <a:ext uri="{FF2B5EF4-FFF2-40B4-BE49-F238E27FC236}">
                      <a16:creationId xmlns:a16="http://schemas.microsoft.com/office/drawing/2014/main" id="{78130323-1FED-4215-9EE3-6CD24437E5EB}"/>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0" name="Rectangle: Rounded Corners 59">
                  <a:extLst>
                    <a:ext uri="{FF2B5EF4-FFF2-40B4-BE49-F238E27FC236}">
                      <a16:creationId xmlns:a16="http://schemas.microsoft.com/office/drawing/2014/main" id="{A6B2A313-EAF0-4FDE-BE68-F678E7CA56DD}"/>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1" name="Picture 60">
                  <a:extLst>
                    <a:ext uri="{FF2B5EF4-FFF2-40B4-BE49-F238E27FC236}">
                      <a16:creationId xmlns:a16="http://schemas.microsoft.com/office/drawing/2014/main" id="{8EAA431D-74C0-40E9-9B9D-355F0F2A97E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2" name="Picture 61">
                  <a:extLst>
                    <a:ext uri="{FF2B5EF4-FFF2-40B4-BE49-F238E27FC236}">
                      <a16:creationId xmlns:a16="http://schemas.microsoft.com/office/drawing/2014/main" id="{F492615B-6CA7-4D56-A17E-82965076376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3" name="Picture 62">
                  <a:extLst>
                    <a:ext uri="{FF2B5EF4-FFF2-40B4-BE49-F238E27FC236}">
                      <a16:creationId xmlns:a16="http://schemas.microsoft.com/office/drawing/2014/main" id="{20AEF821-B3AD-4D5E-962E-AF4C2A1847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4" name="Picture 63">
                  <a:extLst>
                    <a:ext uri="{FF2B5EF4-FFF2-40B4-BE49-F238E27FC236}">
                      <a16:creationId xmlns:a16="http://schemas.microsoft.com/office/drawing/2014/main" id="{D2236EB9-D9B5-4F6E-93C7-92B9C830DDC5}"/>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6" name="Picture 55">
                <a:extLst>
                  <a:ext uri="{FF2B5EF4-FFF2-40B4-BE49-F238E27FC236}">
                    <a16:creationId xmlns:a16="http://schemas.microsoft.com/office/drawing/2014/main" id="{089D9459-5022-4001-BB04-EE522679A7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57" name="TextBox 56">
                <a:extLst>
                  <a:ext uri="{FF2B5EF4-FFF2-40B4-BE49-F238E27FC236}">
                    <a16:creationId xmlns:a16="http://schemas.microsoft.com/office/drawing/2014/main" id="{A17CE72D-5CD6-4B25-B4B9-25BC91C02962}"/>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4" name="Picture 53">
              <a:extLst>
                <a:ext uri="{FF2B5EF4-FFF2-40B4-BE49-F238E27FC236}">
                  <a16:creationId xmlns:a16="http://schemas.microsoft.com/office/drawing/2014/main" id="{2C38EF24-E028-4CE3-8FA9-19B8815534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1019175</xdr:colOff>
      <xdr:row>4</xdr:row>
      <xdr:rowOff>123825</xdr:rowOff>
    </xdr:from>
    <xdr:to>
      <xdr:col>0</xdr:col>
      <xdr:colOff>1628775</xdr:colOff>
      <xdr:row>9</xdr:row>
      <xdr:rowOff>62865</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1017270" y="2487930"/>
          <a:ext cx="609600" cy="647700"/>
          <a:chOff x="13464540" y="68580"/>
          <a:chExt cx="609600" cy="662940"/>
        </a:xfrm>
      </xdr:grpSpPr>
      <xdr:pic macro="[0]!Next_worksheet">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8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352425</xdr:colOff>
      <xdr:row>4</xdr:row>
      <xdr:rowOff>114300</xdr:rowOff>
    </xdr:from>
    <xdr:to>
      <xdr:col>0</xdr:col>
      <xdr:colOff>962025</xdr:colOff>
      <xdr:row>9</xdr:row>
      <xdr:rowOff>72390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354330" y="2476500"/>
          <a:ext cx="609600" cy="672465"/>
          <a:chOff x="12801600" y="129540"/>
          <a:chExt cx="609600" cy="685800"/>
        </a:xfrm>
      </xdr:grpSpPr>
      <xdr:pic macro="[0]!Previous_worksheet">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8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542925</xdr:colOff>
      <xdr:row>28</xdr:row>
      <xdr:rowOff>104775</xdr:rowOff>
    </xdr:from>
    <xdr:to>
      <xdr:col>0</xdr:col>
      <xdr:colOff>1449705</xdr:colOff>
      <xdr:row>33</xdr:row>
      <xdr:rowOff>120015</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544830" y="6084570"/>
          <a:ext cx="904875" cy="733425"/>
          <a:chOff x="12771120" y="8145780"/>
          <a:chExt cx="906780" cy="739140"/>
        </a:xfrm>
      </xdr:grpSpPr>
      <xdr:pic macro="[0]!Top_of_page">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8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295275</xdr:colOff>
      <xdr:row>3</xdr:row>
      <xdr:rowOff>28575</xdr:rowOff>
    </xdr:from>
    <xdr:to>
      <xdr:col>2</xdr:col>
      <xdr:colOff>502557</xdr:colOff>
      <xdr:row>3</xdr:row>
      <xdr:rowOff>229760</xdr:rowOff>
    </xdr:to>
    <xdr:pic macro="[0]!General_data">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0"/>
        <a:stretch>
          <a:fillRect/>
        </a:stretch>
      </xdr:blipFill>
      <xdr:spPr>
        <a:xfrm>
          <a:off x="3609975" y="2143125"/>
          <a:ext cx="207282" cy="201185"/>
        </a:xfrm>
        <a:prstGeom prst="rect">
          <a:avLst/>
        </a:prstGeom>
      </xdr:spPr>
    </xdr:pic>
    <xdr:clientData/>
  </xdr:twoCellAnchor>
  <xdr:twoCellAnchor editAs="absolute">
    <xdr:from>
      <xdr:col>0</xdr:col>
      <xdr:colOff>190499</xdr:colOff>
      <xdr:row>9</xdr:row>
      <xdr:rowOff>133350</xdr:rowOff>
    </xdr:from>
    <xdr:to>
      <xdr:col>0</xdr:col>
      <xdr:colOff>1838324</xdr:colOff>
      <xdr:row>12</xdr:row>
      <xdr:rowOff>34290</xdr:rowOff>
    </xdr:to>
    <xdr:sp macro="[0]!Go_to_summary" textlink="">
      <xdr:nvSpPr>
        <xdr:cNvPr id="34" name="Rounded Rectangle 25" descr="aa7ed726-2103-4563-93bd-7967385ce244">
          <a:hlinkClick xmlns:r="http://schemas.openxmlformats.org/officeDocument/2006/relationships" r:id="rId11"/>
          <a:extLst>
            <a:ext uri="{FF2B5EF4-FFF2-40B4-BE49-F238E27FC236}">
              <a16:creationId xmlns:a16="http://schemas.microsoft.com/office/drawing/2014/main" id="{00000000-0008-0000-0800-000022000000}"/>
            </a:ext>
          </a:extLst>
        </xdr:cNvPr>
        <xdr:cNvSpPr/>
      </xdr:nvSpPr>
      <xdr:spPr>
        <a:xfrm>
          <a:off x="190499" y="32099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1</a:t>
          </a:r>
        </a:p>
      </xdr:txBody>
    </xdr:sp>
    <xdr:clientData/>
  </xdr:twoCellAnchor>
  <xdr:twoCellAnchor editAs="absolute">
    <xdr:from>
      <xdr:col>0</xdr:col>
      <xdr:colOff>180975</xdr:colOff>
      <xdr:row>13</xdr:row>
      <xdr:rowOff>28575</xdr:rowOff>
    </xdr:from>
    <xdr:to>
      <xdr:col>0</xdr:col>
      <xdr:colOff>1828800</xdr:colOff>
      <xdr:row>15</xdr:row>
      <xdr:rowOff>72390</xdr:rowOff>
    </xdr:to>
    <xdr:sp macro="" textlink="">
      <xdr:nvSpPr>
        <xdr:cNvPr id="35" name="Rounded Rectangle 25" descr="72cb3d0b-31a0-48e4-baa2-10fd5105bf81">
          <a:hlinkClick xmlns:r="http://schemas.openxmlformats.org/officeDocument/2006/relationships" r:id="rId12"/>
          <a:extLst>
            <a:ext uri="{FF2B5EF4-FFF2-40B4-BE49-F238E27FC236}">
              <a16:creationId xmlns:a16="http://schemas.microsoft.com/office/drawing/2014/main" id="{00000000-0008-0000-0800-000023000000}"/>
            </a:ext>
          </a:extLst>
        </xdr:cNvPr>
        <xdr:cNvSpPr/>
      </xdr:nvSpPr>
      <xdr:spPr>
        <a:xfrm>
          <a:off x="180975" y="36766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2</a:t>
          </a:r>
        </a:p>
      </xdr:txBody>
    </xdr:sp>
    <xdr:clientData/>
  </xdr:twoCellAnchor>
  <xdr:twoCellAnchor editAs="absolute">
    <xdr:from>
      <xdr:col>0</xdr:col>
      <xdr:colOff>180975</xdr:colOff>
      <xdr:row>16</xdr:row>
      <xdr:rowOff>9525</xdr:rowOff>
    </xdr:from>
    <xdr:to>
      <xdr:col>0</xdr:col>
      <xdr:colOff>1828800</xdr:colOff>
      <xdr:row>18</xdr:row>
      <xdr:rowOff>5715</xdr:rowOff>
    </xdr:to>
    <xdr:sp macro="" textlink="">
      <xdr:nvSpPr>
        <xdr:cNvPr id="36" name="Rounded Rectangle 25" descr="18dbd517-9362-4629-ab91-345a2a814c5f">
          <a:hlinkClick xmlns:r="http://schemas.openxmlformats.org/officeDocument/2006/relationships" r:id="rId13"/>
          <a:extLst>
            <a:ext uri="{FF2B5EF4-FFF2-40B4-BE49-F238E27FC236}">
              <a16:creationId xmlns:a16="http://schemas.microsoft.com/office/drawing/2014/main" id="{00000000-0008-0000-0800-000024000000}"/>
            </a:ext>
          </a:extLst>
        </xdr:cNvPr>
        <xdr:cNvSpPr/>
      </xdr:nvSpPr>
      <xdr:spPr>
        <a:xfrm>
          <a:off x="180975" y="41338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3</a:t>
          </a:r>
        </a:p>
      </xdr:txBody>
    </xdr:sp>
    <xdr:clientData/>
  </xdr:twoCellAnchor>
  <xdr:twoCellAnchor editAs="absolute">
    <xdr:from>
      <xdr:col>0</xdr:col>
      <xdr:colOff>180975</xdr:colOff>
      <xdr:row>18</xdr:row>
      <xdr:rowOff>123825</xdr:rowOff>
    </xdr:from>
    <xdr:to>
      <xdr:col>0</xdr:col>
      <xdr:colOff>1828800</xdr:colOff>
      <xdr:row>20</xdr:row>
      <xdr:rowOff>72390</xdr:rowOff>
    </xdr:to>
    <xdr:sp macro="" textlink="">
      <xdr:nvSpPr>
        <xdr:cNvPr id="37" name="Rounded Rectangle 25" descr="a03e014f-e60c-409f-a23b-696c37c40b9c">
          <a:hlinkClick xmlns:r="http://schemas.openxmlformats.org/officeDocument/2006/relationships" r:id="rId14"/>
          <a:extLst>
            <a:ext uri="{FF2B5EF4-FFF2-40B4-BE49-F238E27FC236}">
              <a16:creationId xmlns:a16="http://schemas.microsoft.com/office/drawing/2014/main" id="{00000000-0008-0000-0800-000025000000}"/>
            </a:ext>
          </a:extLst>
        </xdr:cNvPr>
        <xdr:cNvSpPr/>
      </xdr:nvSpPr>
      <xdr:spPr>
        <a:xfrm>
          <a:off x="180975" y="45815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4</a:t>
          </a:r>
        </a:p>
      </xdr:txBody>
    </xdr:sp>
    <xdr:clientData/>
  </xdr:twoCellAnchor>
  <xdr:twoCellAnchor editAs="oneCell">
    <xdr:from>
      <xdr:col>1</xdr:col>
      <xdr:colOff>495300</xdr:colOff>
      <xdr:row>7</xdr:row>
      <xdr:rowOff>0</xdr:rowOff>
    </xdr:from>
    <xdr:to>
      <xdr:col>1</xdr:col>
      <xdr:colOff>632691</xdr:colOff>
      <xdr:row>7</xdr:row>
      <xdr:rowOff>133350</xdr:rowOff>
    </xdr:to>
    <xdr:pic macro="[0]!CEPCI">
      <xdr:nvPicPr>
        <xdr:cNvPr id="38" name="Picture 37">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10"/>
        <a:stretch>
          <a:fillRect/>
        </a:stretch>
      </xdr:blipFill>
      <xdr:spPr>
        <a:xfrm>
          <a:off x="2543175" y="2924175"/>
          <a:ext cx="137391" cy="133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209550</xdr:colOff>
      <xdr:row>0</xdr:row>
      <xdr:rowOff>95250</xdr:rowOff>
    </xdr:from>
    <xdr:to>
      <xdr:col>9</xdr:col>
      <xdr:colOff>304165</xdr:colOff>
      <xdr:row>0</xdr:row>
      <xdr:rowOff>1769322</xdr:rowOff>
    </xdr:to>
    <xdr:grpSp>
      <xdr:nvGrpSpPr>
        <xdr:cNvPr id="53" name="Group 52">
          <a:extLst>
            <a:ext uri="{FF2B5EF4-FFF2-40B4-BE49-F238E27FC236}">
              <a16:creationId xmlns:a16="http://schemas.microsoft.com/office/drawing/2014/main" id="{96B0FBE1-3944-4445-9A6A-9D979F17CA5F}"/>
            </a:ext>
          </a:extLst>
        </xdr:cNvPr>
        <xdr:cNvGrpSpPr/>
      </xdr:nvGrpSpPr>
      <xdr:grpSpPr>
        <a:xfrm>
          <a:off x="205740" y="91440"/>
          <a:ext cx="16462375" cy="1681692"/>
          <a:chOff x="171450" y="91441"/>
          <a:chExt cx="16462375" cy="1683597"/>
        </a:xfrm>
      </xdr:grpSpPr>
      <xdr:pic>
        <xdr:nvPicPr>
          <xdr:cNvPr id="54" name="Picture 53">
            <a:extLst>
              <a:ext uri="{FF2B5EF4-FFF2-40B4-BE49-F238E27FC236}">
                <a16:creationId xmlns:a16="http://schemas.microsoft.com/office/drawing/2014/main" id="{73643ACD-478F-43FF-9BFA-087ABDCDB20F}"/>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75" name="Group 74">
            <a:extLst>
              <a:ext uri="{FF2B5EF4-FFF2-40B4-BE49-F238E27FC236}">
                <a16:creationId xmlns:a16="http://schemas.microsoft.com/office/drawing/2014/main" id="{03A9E8F1-BE52-4E5F-A137-9DADED330C26}"/>
              </a:ext>
            </a:extLst>
          </xdr:cNvPr>
          <xdr:cNvGrpSpPr/>
        </xdr:nvGrpSpPr>
        <xdr:grpSpPr>
          <a:xfrm>
            <a:off x="167640" y="95251"/>
            <a:ext cx="16462375" cy="1675977"/>
            <a:chOff x="167640" y="95251"/>
            <a:chExt cx="16462375" cy="1675977"/>
          </a:xfrm>
        </xdr:grpSpPr>
        <xdr:grpSp>
          <xdr:nvGrpSpPr>
            <xdr:cNvPr id="77" name="Group 76">
              <a:extLst>
                <a:ext uri="{FF2B5EF4-FFF2-40B4-BE49-F238E27FC236}">
                  <a16:creationId xmlns:a16="http://schemas.microsoft.com/office/drawing/2014/main" id="{E69803A1-FCA8-4D66-8A84-34F0AF5A63B8}"/>
                </a:ext>
              </a:extLst>
            </xdr:cNvPr>
            <xdr:cNvGrpSpPr/>
          </xdr:nvGrpSpPr>
          <xdr:grpSpPr>
            <a:xfrm>
              <a:off x="171450" y="91441"/>
              <a:ext cx="16462375" cy="1683597"/>
              <a:chOff x="171449" y="38100"/>
              <a:chExt cx="16659225" cy="1704975"/>
            </a:xfrm>
          </xdr:grpSpPr>
          <xdr:grpSp>
            <xdr:nvGrpSpPr>
              <xdr:cNvPr id="79" name="Group 78">
                <a:extLst>
                  <a:ext uri="{FF2B5EF4-FFF2-40B4-BE49-F238E27FC236}">
                    <a16:creationId xmlns:a16="http://schemas.microsoft.com/office/drawing/2014/main" id="{5B94E3D5-38A2-4ED6-9F69-798DF8918E8F}"/>
                  </a:ext>
                </a:extLst>
              </xdr:cNvPr>
              <xdr:cNvGrpSpPr/>
            </xdr:nvGrpSpPr>
            <xdr:grpSpPr>
              <a:xfrm>
                <a:off x="171449" y="38100"/>
                <a:ext cx="16659225" cy="1704975"/>
                <a:chOff x="171449" y="38100"/>
                <a:chExt cx="16659225" cy="1704975"/>
              </a:xfrm>
            </xdr:grpSpPr>
            <xdr:pic>
              <xdr:nvPicPr>
                <xdr:cNvPr id="82" name="Picture 81" descr="catalisti.be">
                  <a:extLst>
                    <a:ext uri="{FF2B5EF4-FFF2-40B4-BE49-F238E27FC236}">
                      <a16:creationId xmlns:a16="http://schemas.microsoft.com/office/drawing/2014/main" id="{ED848BCF-EC61-4F05-AFDF-4678F00172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3" name="Rectangle 82">
                  <a:extLst>
                    <a:ext uri="{FF2B5EF4-FFF2-40B4-BE49-F238E27FC236}">
                      <a16:creationId xmlns:a16="http://schemas.microsoft.com/office/drawing/2014/main" id="{21EAD990-14B7-4FEE-B2EF-872F8EAFC53E}"/>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84" name="Rectangle: Rounded Corners 83">
                  <a:extLst>
                    <a:ext uri="{FF2B5EF4-FFF2-40B4-BE49-F238E27FC236}">
                      <a16:creationId xmlns:a16="http://schemas.microsoft.com/office/drawing/2014/main" id="{1BBC6008-1A17-4FAA-B8BB-6343F5392BEC}"/>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85" name="Picture 84">
                  <a:extLst>
                    <a:ext uri="{FF2B5EF4-FFF2-40B4-BE49-F238E27FC236}">
                      <a16:creationId xmlns:a16="http://schemas.microsoft.com/office/drawing/2014/main" id="{8C525C65-050C-4930-B70B-53A221513A9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86" name="Picture 85">
                  <a:extLst>
                    <a:ext uri="{FF2B5EF4-FFF2-40B4-BE49-F238E27FC236}">
                      <a16:creationId xmlns:a16="http://schemas.microsoft.com/office/drawing/2014/main" id="{75802AB6-D477-4CDD-B60C-B5147CE2EDF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87" name="Picture 86">
                  <a:extLst>
                    <a:ext uri="{FF2B5EF4-FFF2-40B4-BE49-F238E27FC236}">
                      <a16:creationId xmlns:a16="http://schemas.microsoft.com/office/drawing/2014/main" id="{113D2BFA-FF2D-4FE5-9DB6-0EDA23C4CC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8" name="Picture 87">
                  <a:extLst>
                    <a:ext uri="{FF2B5EF4-FFF2-40B4-BE49-F238E27FC236}">
                      <a16:creationId xmlns:a16="http://schemas.microsoft.com/office/drawing/2014/main" id="{9C34AE1B-4D43-44C1-875C-32F70335734F}"/>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80" name="Picture 79">
                <a:extLst>
                  <a:ext uri="{FF2B5EF4-FFF2-40B4-BE49-F238E27FC236}">
                    <a16:creationId xmlns:a16="http://schemas.microsoft.com/office/drawing/2014/main" id="{A3CD8FB0-9D6A-41B3-9491-E2E2DED73D2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81" name="TextBox 80">
                <a:extLst>
                  <a:ext uri="{FF2B5EF4-FFF2-40B4-BE49-F238E27FC236}">
                    <a16:creationId xmlns:a16="http://schemas.microsoft.com/office/drawing/2014/main" id="{A96DF370-EB90-40E8-B062-54FB3DEB274B}"/>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8" name="Picture 77">
              <a:extLst>
                <a:ext uri="{FF2B5EF4-FFF2-40B4-BE49-F238E27FC236}">
                  <a16:creationId xmlns:a16="http://schemas.microsoft.com/office/drawing/2014/main" id="{811F0251-6B11-423A-B10B-DB16C2321C5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354330" y="2476500"/>
          <a:ext cx="609600" cy="668655"/>
          <a:chOff x="12801600" y="129540"/>
          <a:chExt cx="609600" cy="685800"/>
        </a:xfrm>
      </xdr:grpSpPr>
      <xdr:pic macro="[0]!Previous_worksheet">
        <xdr:nvPicPr>
          <xdr:cNvPr id="15" name="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9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0]!Go_to_ME"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00000000-0008-0000-0900-000013000000}"/>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0]!Go_to_Economic"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00000000-0008-0000-0900-000014000000}"/>
            </a:ext>
          </a:extLst>
        </xdr:cNvPr>
        <xdr:cNvSpPr/>
      </xdr:nvSpPr>
      <xdr:spPr>
        <a:xfrm>
          <a:off x="171450" y="3886200"/>
          <a:ext cx="1695450" cy="341207"/>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0]!Go_to_Environmental"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00000000-0008-0000-0900-000015000000}"/>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0]!Go_to_summary"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00000000-0008-0000-0900-000016000000}"/>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macro="[0]!Pathway">
      <xdr:nvPicPr>
        <xdr:cNvPr id="23" name="Picture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00000000-0008-0000-0900-000018000000}"/>
            </a:ext>
          </a:extLst>
        </xdr:cNvPr>
        <xdr:cNvSpPr/>
      </xdr:nvSpPr>
      <xdr:spPr>
        <a:xfrm>
          <a:off x="61436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00000000-0008-0000-0900-000019000000}"/>
            </a:ext>
          </a:extLst>
        </xdr:cNvPr>
        <xdr:cNvSpPr/>
      </xdr:nvSpPr>
      <xdr:spPr>
        <a:xfrm>
          <a:off x="83153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00000000-0008-0000-0900-00001A000000}"/>
            </a:ext>
          </a:extLst>
        </xdr:cNvPr>
        <xdr:cNvSpPr/>
      </xdr:nvSpPr>
      <xdr:spPr>
        <a:xfrm>
          <a:off x="104775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macro="[0]!Pathway_PFD">
      <xdr:nvPicPr>
        <xdr:cNvPr id="28" name="Picture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macro="[0]!Pathway_ME">
      <xdr:nvPicPr>
        <xdr:cNvPr id="29" name="Picture 28">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4"/>
        <a:stretch>
          <a:fillRect/>
        </a:stretch>
      </xdr:blipFill>
      <xdr:spPr>
        <a:xfrm>
          <a:off x="2743200" y="6029325"/>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macro="[0]!Pathway_Economic">
      <xdr:nvPicPr>
        <xdr:cNvPr id="30" name="Picture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14"/>
        <a:stretch>
          <a:fillRect/>
        </a:stretch>
      </xdr:blipFill>
      <xdr:spPr>
        <a:xfrm>
          <a:off x="2733675" y="93249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macro="[0]!Pathway_Environment">
      <xdr:nvPicPr>
        <xdr:cNvPr id="31" name="Picture 3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14"/>
        <a:stretch>
          <a:fillRect/>
        </a:stretch>
      </xdr:blipFill>
      <xdr:spPr>
        <a:xfrm>
          <a:off x="3038475" y="17116425"/>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4" name="Group 33">
          <a:extLst>
            <a:ext uri="{FF2B5EF4-FFF2-40B4-BE49-F238E27FC236}">
              <a16:creationId xmlns:a16="http://schemas.microsoft.com/office/drawing/2014/main" id="{00000000-0008-0000-0900-000022000000}"/>
            </a:ext>
          </a:extLst>
        </xdr:cNvPr>
        <xdr:cNvGrpSpPr/>
      </xdr:nvGrpSpPr>
      <xdr:grpSpPr>
        <a:xfrm>
          <a:off x="506730" y="10203180"/>
          <a:ext cx="904875" cy="723900"/>
          <a:chOff x="12771120" y="8145780"/>
          <a:chExt cx="906780" cy="739140"/>
        </a:xfrm>
      </xdr:grpSpPr>
      <xdr:pic macro="[0]!Top_of_page">
        <xdr:nvPicPr>
          <xdr:cNvPr id="35" name="Picture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00000000-0008-0000-0900-000024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7" name="Group 36">
          <a:extLst>
            <a:ext uri="{FF2B5EF4-FFF2-40B4-BE49-F238E27FC236}">
              <a16:creationId xmlns:a16="http://schemas.microsoft.com/office/drawing/2014/main" id="{00000000-0008-0000-0900-000025000000}"/>
            </a:ext>
          </a:extLst>
        </xdr:cNvPr>
        <xdr:cNvGrpSpPr/>
      </xdr:nvGrpSpPr>
      <xdr:grpSpPr>
        <a:xfrm>
          <a:off x="544830" y="21219795"/>
          <a:ext cx="904875" cy="733425"/>
          <a:chOff x="12771120" y="8145780"/>
          <a:chExt cx="906780" cy="739140"/>
        </a:xfrm>
      </xdr:grpSpPr>
      <xdr:pic macro="[0]!Top_of_page">
        <xdr:nvPicPr>
          <xdr:cNvPr id="38" name="Picture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00000000-0008-0000-0900-000027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40" name="Group 39">
          <a:extLst>
            <a:ext uri="{FF2B5EF4-FFF2-40B4-BE49-F238E27FC236}">
              <a16:creationId xmlns:a16="http://schemas.microsoft.com/office/drawing/2014/main" id="{00000000-0008-0000-0900-000028000000}"/>
            </a:ext>
          </a:extLst>
        </xdr:cNvPr>
        <xdr:cNvGrpSpPr/>
      </xdr:nvGrpSpPr>
      <xdr:grpSpPr>
        <a:xfrm>
          <a:off x="506730" y="28342590"/>
          <a:ext cx="904875" cy="735330"/>
          <a:chOff x="12771120" y="8145780"/>
          <a:chExt cx="906780" cy="739140"/>
        </a:xfrm>
      </xdr:grpSpPr>
      <xdr:pic macro="[0]!Top_of_page">
        <xdr:nvPicPr>
          <xdr:cNvPr id="41" name="Picture 4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2" name="TextBox 41">
            <a:extLst>
              <a:ext uri="{FF2B5EF4-FFF2-40B4-BE49-F238E27FC236}">
                <a16:creationId xmlns:a16="http://schemas.microsoft.com/office/drawing/2014/main" id="{00000000-0008-0000-0900-00002A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macro="[0]!Contribution_analysis">
      <xdr:nvPicPr>
        <xdr:cNvPr id="56" name="Picture 55">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18"/>
        <a:stretch>
          <a:fillRect/>
        </a:stretch>
      </xdr:blipFill>
      <xdr:spPr>
        <a:xfrm>
          <a:off x="3505200" y="2844165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57" name="Rectangle: Rounded Corners 56" descr="ee03ab9c-5e7c-4328-9db4-0c69115286c9">
          <a:hlinkClick xmlns:r="http://schemas.openxmlformats.org/officeDocument/2006/relationships" r:id="rId19"/>
          <a:extLst>
            <a:ext uri="{FF2B5EF4-FFF2-40B4-BE49-F238E27FC236}">
              <a16:creationId xmlns:a16="http://schemas.microsoft.com/office/drawing/2014/main" id="{345DF5C1-AA05-48F9-BC1C-7AB852BA795E}"/>
            </a:ext>
          </a:extLst>
        </xdr:cNvPr>
        <xdr:cNvSpPr/>
      </xdr:nvSpPr>
      <xdr:spPr>
        <a:xfrm>
          <a:off x="126301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72" name="Group 71">
          <a:extLst>
            <a:ext uri="{FF2B5EF4-FFF2-40B4-BE49-F238E27FC236}">
              <a16:creationId xmlns:a16="http://schemas.microsoft.com/office/drawing/2014/main" id="{DE056A4E-4156-4DEB-86C2-FE7237E38A53}"/>
            </a:ext>
          </a:extLst>
        </xdr:cNvPr>
        <xdr:cNvGrpSpPr/>
      </xdr:nvGrpSpPr>
      <xdr:grpSpPr>
        <a:xfrm>
          <a:off x="929640" y="2491740"/>
          <a:ext cx="609600" cy="653415"/>
          <a:chOff x="13464540" y="68580"/>
          <a:chExt cx="609600" cy="662940"/>
        </a:xfrm>
      </xdr:grpSpPr>
      <xdr:pic macro="[0]!Next_worksheet">
        <xdr:nvPicPr>
          <xdr:cNvPr id="73" name="Picture 72">
            <a:extLst>
              <a:ext uri="{FF2B5EF4-FFF2-40B4-BE49-F238E27FC236}">
                <a16:creationId xmlns:a16="http://schemas.microsoft.com/office/drawing/2014/main" id="{3E1E16FC-54AF-49F1-8958-0775E4E3B1B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74" name="TextBox 73">
            <a:extLst>
              <a:ext uri="{FF2B5EF4-FFF2-40B4-BE49-F238E27FC236}">
                <a16:creationId xmlns:a16="http://schemas.microsoft.com/office/drawing/2014/main" id="{A6DCBDF0-D0BF-46EF-BB20-3D71C95C4808}"/>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6" name="Group 45">
          <a:extLst>
            <a:ext uri="{FF2B5EF4-FFF2-40B4-BE49-F238E27FC236}">
              <a16:creationId xmlns:a16="http://schemas.microsoft.com/office/drawing/2014/main" id="{32E8EA39-4438-40A7-B5BC-608FDDF77F16}"/>
            </a:ext>
          </a:extLst>
        </xdr:cNvPr>
        <xdr:cNvGrpSpPr/>
      </xdr:nvGrpSpPr>
      <xdr:grpSpPr>
        <a:xfrm>
          <a:off x="548640" y="30499050"/>
          <a:ext cx="914400" cy="733425"/>
          <a:chOff x="12771120" y="8145780"/>
          <a:chExt cx="906780" cy="739140"/>
        </a:xfrm>
      </xdr:grpSpPr>
      <xdr:pic macro="[0]!Top_of_page">
        <xdr:nvPicPr>
          <xdr:cNvPr id="47" name="Picture 46">
            <a:extLst>
              <a:ext uri="{FF2B5EF4-FFF2-40B4-BE49-F238E27FC236}">
                <a16:creationId xmlns:a16="http://schemas.microsoft.com/office/drawing/2014/main" id="{1A096F78-9BF4-4463-AB03-DE88AE88B1C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8" name="TextBox 47">
            <a:extLst>
              <a:ext uri="{FF2B5EF4-FFF2-40B4-BE49-F238E27FC236}">
                <a16:creationId xmlns:a16="http://schemas.microsoft.com/office/drawing/2014/main" id="{93825DDF-C4F5-4667-A290-1E2E77675B1B}"/>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9" name="Group 48">
          <a:extLst>
            <a:ext uri="{FF2B5EF4-FFF2-40B4-BE49-F238E27FC236}">
              <a16:creationId xmlns:a16="http://schemas.microsoft.com/office/drawing/2014/main" id="{88137DF8-7C08-46EB-8759-729AE2A2C6AD}"/>
            </a:ext>
          </a:extLst>
        </xdr:cNvPr>
        <xdr:cNvGrpSpPr/>
      </xdr:nvGrpSpPr>
      <xdr:grpSpPr>
        <a:xfrm>
          <a:off x="548640" y="32158305"/>
          <a:ext cx="914400" cy="723900"/>
          <a:chOff x="12771120" y="8145780"/>
          <a:chExt cx="906780" cy="739140"/>
        </a:xfrm>
      </xdr:grpSpPr>
      <xdr:pic macro="[0]!Top_of_page">
        <xdr:nvPicPr>
          <xdr:cNvPr id="50" name="Picture 49">
            <a:extLst>
              <a:ext uri="{FF2B5EF4-FFF2-40B4-BE49-F238E27FC236}">
                <a16:creationId xmlns:a16="http://schemas.microsoft.com/office/drawing/2014/main" id="{BB0668D6-3671-4FB7-B47C-4888BAF271E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1" name="TextBox 50">
            <a:extLst>
              <a:ext uri="{FF2B5EF4-FFF2-40B4-BE49-F238E27FC236}">
                <a16:creationId xmlns:a16="http://schemas.microsoft.com/office/drawing/2014/main" id="{96C77B87-8BA6-40FE-AD33-BDBF484EC2A8}"/>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macro="[0]!OATsensitivity_analysis">
      <xdr:nvPicPr>
        <xdr:cNvPr id="55" name="Picture 54">
          <a:extLst>
            <a:ext uri="{FF2B5EF4-FFF2-40B4-BE49-F238E27FC236}">
              <a16:creationId xmlns:a16="http://schemas.microsoft.com/office/drawing/2014/main" id="{27A51CBA-4091-40AD-BA1F-5D2C8595F8FC}"/>
            </a:ext>
          </a:extLst>
        </xdr:cNvPr>
        <xdr:cNvPicPr>
          <a:picLocks noChangeAspect="1"/>
        </xdr:cNvPicPr>
      </xdr:nvPicPr>
      <xdr:blipFill>
        <a:blip xmlns:r="http://schemas.openxmlformats.org/officeDocument/2006/relationships" r:embed="rId18"/>
        <a:stretch>
          <a:fillRect/>
        </a:stretch>
      </xdr:blipFill>
      <xdr:spPr>
        <a:xfrm>
          <a:off x="4295775" y="3001327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macro="[0]!scenario_analysis">
      <xdr:nvPicPr>
        <xdr:cNvPr id="76" name="Picture 75">
          <a:extLst>
            <a:ext uri="{FF2B5EF4-FFF2-40B4-BE49-F238E27FC236}">
              <a16:creationId xmlns:a16="http://schemas.microsoft.com/office/drawing/2014/main" id="{05567161-21F0-4378-8F9F-DFCBA5EAC4BA}"/>
            </a:ext>
          </a:extLst>
        </xdr:cNvPr>
        <xdr:cNvPicPr>
          <a:picLocks noChangeAspect="1"/>
        </xdr:cNvPicPr>
      </xdr:nvPicPr>
      <xdr:blipFill>
        <a:blip xmlns:r="http://schemas.openxmlformats.org/officeDocument/2006/relationships" r:embed="rId18"/>
        <a:stretch>
          <a:fillRect/>
        </a:stretch>
      </xdr:blipFill>
      <xdr:spPr>
        <a:xfrm>
          <a:off x="6019800" y="31718250"/>
          <a:ext cx="134124" cy="134124"/>
        </a:xfrm>
        <a:prstGeom prst="rect">
          <a:avLst/>
        </a:prstGeom>
      </xdr:spPr>
    </xdr:pic>
    <xdr:clientData/>
  </xdr:twoCellAnchor>
  <xdr:twoCellAnchor>
    <xdr:from>
      <xdr:col>2</xdr:col>
      <xdr:colOff>350520</xdr:colOff>
      <xdr:row>9</xdr:row>
      <xdr:rowOff>125730</xdr:rowOff>
    </xdr:from>
    <xdr:to>
      <xdr:col>3</xdr:col>
      <xdr:colOff>802005</xdr:colOff>
      <xdr:row>16</xdr:row>
      <xdr:rowOff>104775</xdr:rowOff>
    </xdr:to>
    <xdr:sp macro="" textlink="">
      <xdr:nvSpPr>
        <xdr:cNvPr id="58" name="Rectangle: Rounded Corners 57" descr="49ba1274-98d9-4a91-b0d2-3a1a8768a01d">
          <a:extLst>
            <a:ext uri="{FF2B5EF4-FFF2-40B4-BE49-F238E27FC236}">
              <a16:creationId xmlns:a16="http://schemas.microsoft.com/office/drawing/2014/main" id="{219285D9-BDFE-4064-96F5-20B038F53EDA}"/>
            </a:ext>
          </a:extLst>
        </xdr:cNvPr>
        <xdr:cNvSpPr/>
      </xdr:nvSpPr>
      <xdr:spPr>
        <a:xfrm>
          <a:off x="5246370" y="3630930"/>
          <a:ext cx="2032635" cy="10172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t> </a:t>
          </a:r>
        </a:p>
      </xdr:txBody>
    </xdr:sp>
    <xdr:clientData/>
  </xdr:twoCellAnchor>
  <xdr:twoCellAnchor>
    <xdr:from>
      <xdr:col>1</xdr:col>
      <xdr:colOff>1950720</xdr:colOff>
      <xdr:row>12</xdr:row>
      <xdr:rowOff>45720</xdr:rowOff>
    </xdr:from>
    <xdr:to>
      <xdr:col>2</xdr:col>
      <xdr:colOff>360045</xdr:colOff>
      <xdr:row>12</xdr:row>
      <xdr:rowOff>45720</xdr:rowOff>
    </xdr:to>
    <xdr:cxnSp macro="">
      <xdr:nvCxnSpPr>
        <xdr:cNvPr id="59" name="Straight Arrow Connector 58" descr="d5d64618-d424-4e5b-a943-e01d69a1fa13">
          <a:extLst>
            <a:ext uri="{FF2B5EF4-FFF2-40B4-BE49-F238E27FC236}">
              <a16:creationId xmlns:a16="http://schemas.microsoft.com/office/drawing/2014/main" id="{CAB4E918-837E-4011-BDD5-9261034226F2}"/>
            </a:ext>
          </a:extLst>
        </xdr:cNvPr>
        <xdr:cNvCxnSpPr/>
      </xdr:nvCxnSpPr>
      <xdr:spPr>
        <a:xfrm>
          <a:off x="4055745" y="397954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723900</xdr:colOff>
      <xdr:row>9</xdr:row>
      <xdr:rowOff>28575</xdr:rowOff>
    </xdr:from>
    <xdr:to>
      <xdr:col>1</xdr:col>
      <xdr:colOff>2762250</xdr:colOff>
      <xdr:row>11</xdr:row>
      <xdr:rowOff>125730</xdr:rowOff>
    </xdr:to>
    <xdr:sp macro="" textlink="">
      <xdr:nvSpPr>
        <xdr:cNvPr id="60" name="Rectangle 59" descr="1345391e-2296-4e03-88ce-f2bd62ecf9fc">
          <a:extLst>
            <a:ext uri="{FF2B5EF4-FFF2-40B4-BE49-F238E27FC236}">
              <a16:creationId xmlns:a16="http://schemas.microsoft.com/office/drawing/2014/main" id="{B27D08C2-99CF-456A-BCF4-47BF3E18404B}"/>
            </a:ext>
          </a:extLst>
        </xdr:cNvPr>
        <xdr:cNvSpPr/>
      </xdr:nvSpPr>
      <xdr:spPr>
        <a:xfrm>
          <a:off x="2828925" y="3533775"/>
          <a:ext cx="2038350" cy="382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solidFill>
                <a:schemeClr val="tx1"/>
              </a:solidFill>
            </a:rPr>
            <a:t> Add mass/energy flow</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209550</xdr:colOff>
      <xdr:row>0</xdr:row>
      <xdr:rowOff>104775</xdr:rowOff>
    </xdr:from>
    <xdr:to>
      <xdr:col>9</xdr:col>
      <xdr:colOff>304165</xdr:colOff>
      <xdr:row>0</xdr:row>
      <xdr:rowOff>1778847</xdr:rowOff>
    </xdr:to>
    <xdr:grpSp>
      <xdr:nvGrpSpPr>
        <xdr:cNvPr id="53" name="Group 52">
          <a:extLst>
            <a:ext uri="{FF2B5EF4-FFF2-40B4-BE49-F238E27FC236}">
              <a16:creationId xmlns:a16="http://schemas.microsoft.com/office/drawing/2014/main" id="{9E26F38F-FCD2-48B1-96DB-D3D65A22AFA8}"/>
            </a:ext>
          </a:extLst>
        </xdr:cNvPr>
        <xdr:cNvGrpSpPr/>
      </xdr:nvGrpSpPr>
      <xdr:grpSpPr>
        <a:xfrm>
          <a:off x="205740" y="102870"/>
          <a:ext cx="16462375" cy="1672167"/>
          <a:chOff x="171450" y="91441"/>
          <a:chExt cx="16462375" cy="1683597"/>
        </a:xfrm>
      </xdr:grpSpPr>
      <xdr:pic>
        <xdr:nvPicPr>
          <xdr:cNvPr id="54" name="Picture 53">
            <a:extLst>
              <a:ext uri="{FF2B5EF4-FFF2-40B4-BE49-F238E27FC236}">
                <a16:creationId xmlns:a16="http://schemas.microsoft.com/office/drawing/2014/main" id="{C50B4508-0317-4E26-B6EA-16A77EE08597}"/>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5" name="Group 54">
            <a:extLst>
              <a:ext uri="{FF2B5EF4-FFF2-40B4-BE49-F238E27FC236}">
                <a16:creationId xmlns:a16="http://schemas.microsoft.com/office/drawing/2014/main" id="{88D6BB0B-C883-4FF3-86EB-4B945FC0B623}"/>
              </a:ext>
            </a:extLst>
          </xdr:cNvPr>
          <xdr:cNvGrpSpPr/>
        </xdr:nvGrpSpPr>
        <xdr:grpSpPr>
          <a:xfrm>
            <a:off x="167640" y="95251"/>
            <a:ext cx="16462375" cy="1675977"/>
            <a:chOff x="167640" y="95251"/>
            <a:chExt cx="16462375" cy="1675977"/>
          </a:xfrm>
        </xdr:grpSpPr>
        <xdr:grpSp>
          <xdr:nvGrpSpPr>
            <xdr:cNvPr id="56" name="Group 55">
              <a:extLst>
                <a:ext uri="{FF2B5EF4-FFF2-40B4-BE49-F238E27FC236}">
                  <a16:creationId xmlns:a16="http://schemas.microsoft.com/office/drawing/2014/main" id="{B9B78886-F62C-4B11-9F31-8C9163095701}"/>
                </a:ext>
              </a:extLst>
            </xdr:cNvPr>
            <xdr:cNvGrpSpPr/>
          </xdr:nvGrpSpPr>
          <xdr:grpSpPr>
            <a:xfrm>
              <a:off x="171450" y="91441"/>
              <a:ext cx="16462375" cy="1683597"/>
              <a:chOff x="171449" y="38100"/>
              <a:chExt cx="16659225" cy="1704975"/>
            </a:xfrm>
          </xdr:grpSpPr>
          <xdr:grpSp>
            <xdr:nvGrpSpPr>
              <xdr:cNvPr id="58" name="Group 57">
                <a:extLst>
                  <a:ext uri="{FF2B5EF4-FFF2-40B4-BE49-F238E27FC236}">
                    <a16:creationId xmlns:a16="http://schemas.microsoft.com/office/drawing/2014/main" id="{19CCF45B-F4A0-4349-B199-9E24CBB29610}"/>
                  </a:ext>
                </a:extLst>
              </xdr:cNvPr>
              <xdr:cNvGrpSpPr/>
            </xdr:nvGrpSpPr>
            <xdr:grpSpPr>
              <a:xfrm>
                <a:off x="171449" y="38100"/>
                <a:ext cx="16659225" cy="1704975"/>
                <a:chOff x="171449" y="38100"/>
                <a:chExt cx="16659225" cy="1704975"/>
              </a:xfrm>
            </xdr:grpSpPr>
            <xdr:pic>
              <xdr:nvPicPr>
                <xdr:cNvPr id="61" name="Picture 60" descr="catalisti.be">
                  <a:extLst>
                    <a:ext uri="{FF2B5EF4-FFF2-40B4-BE49-F238E27FC236}">
                      <a16:creationId xmlns:a16="http://schemas.microsoft.com/office/drawing/2014/main" id="{4DF6B44D-4974-4443-9595-9F023A8373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2" name="Rectangle 61">
                  <a:extLst>
                    <a:ext uri="{FF2B5EF4-FFF2-40B4-BE49-F238E27FC236}">
                      <a16:creationId xmlns:a16="http://schemas.microsoft.com/office/drawing/2014/main" id="{AFA0965C-3468-4108-8167-ADFB2CE47BD6}"/>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3" name="Rectangle: Rounded Corners 62">
                  <a:extLst>
                    <a:ext uri="{FF2B5EF4-FFF2-40B4-BE49-F238E27FC236}">
                      <a16:creationId xmlns:a16="http://schemas.microsoft.com/office/drawing/2014/main" id="{5EDE7C5F-71FE-4F07-8009-341D7FD21F48}"/>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4" name="Picture 63">
                  <a:extLst>
                    <a:ext uri="{FF2B5EF4-FFF2-40B4-BE49-F238E27FC236}">
                      <a16:creationId xmlns:a16="http://schemas.microsoft.com/office/drawing/2014/main" id="{97BDE21F-DE9B-440A-99D9-2C09570485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5" name="Picture 64">
                  <a:extLst>
                    <a:ext uri="{FF2B5EF4-FFF2-40B4-BE49-F238E27FC236}">
                      <a16:creationId xmlns:a16="http://schemas.microsoft.com/office/drawing/2014/main" id="{8D6E5D70-769D-4220-A612-1B2F49CAA74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6" name="Picture 65">
                  <a:extLst>
                    <a:ext uri="{FF2B5EF4-FFF2-40B4-BE49-F238E27FC236}">
                      <a16:creationId xmlns:a16="http://schemas.microsoft.com/office/drawing/2014/main" id="{A9C0B1AA-27C7-4DFC-B7F5-815F773CFF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7" name="Picture 66">
                  <a:extLst>
                    <a:ext uri="{FF2B5EF4-FFF2-40B4-BE49-F238E27FC236}">
                      <a16:creationId xmlns:a16="http://schemas.microsoft.com/office/drawing/2014/main" id="{B975C0D2-AE14-4F96-AEDE-502FB9ADD08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9" name="Picture 58">
                <a:extLst>
                  <a:ext uri="{FF2B5EF4-FFF2-40B4-BE49-F238E27FC236}">
                    <a16:creationId xmlns:a16="http://schemas.microsoft.com/office/drawing/2014/main" id="{D70D0349-B054-4951-8980-F3C0FAFF881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0" name="TextBox 59">
                <a:extLst>
                  <a:ext uri="{FF2B5EF4-FFF2-40B4-BE49-F238E27FC236}">
                    <a16:creationId xmlns:a16="http://schemas.microsoft.com/office/drawing/2014/main" id="{A413E913-0CEB-4DB8-8C8E-202E6BC44599}"/>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7" name="Picture 56">
              <a:extLst>
                <a:ext uri="{FF2B5EF4-FFF2-40B4-BE49-F238E27FC236}">
                  <a16:creationId xmlns:a16="http://schemas.microsoft.com/office/drawing/2014/main" id="{DC804C4A-4F79-4F00-B51D-43E63B3CA2D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6" name="Group 15">
          <a:extLst>
            <a:ext uri="{FF2B5EF4-FFF2-40B4-BE49-F238E27FC236}">
              <a16:creationId xmlns:a16="http://schemas.microsoft.com/office/drawing/2014/main" id="{A46E642D-8A39-4658-BE25-54001FCAB5EE}"/>
            </a:ext>
          </a:extLst>
        </xdr:cNvPr>
        <xdr:cNvGrpSpPr/>
      </xdr:nvGrpSpPr>
      <xdr:grpSpPr>
        <a:xfrm>
          <a:off x="354330" y="2476500"/>
          <a:ext cx="609600" cy="668655"/>
          <a:chOff x="12801600" y="129540"/>
          <a:chExt cx="609600" cy="685800"/>
        </a:xfrm>
      </xdr:grpSpPr>
      <xdr:pic macro="[0]!Previous_worksheet">
        <xdr:nvPicPr>
          <xdr:cNvPr id="17" name="Picture 16">
            <a:extLst>
              <a:ext uri="{FF2B5EF4-FFF2-40B4-BE49-F238E27FC236}">
                <a16:creationId xmlns:a16="http://schemas.microsoft.com/office/drawing/2014/main" id="{E4622F6B-79C3-F245-B4D8-06F2308828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8" name="TextBox 17">
            <a:extLst>
              <a:ext uri="{FF2B5EF4-FFF2-40B4-BE49-F238E27FC236}">
                <a16:creationId xmlns:a16="http://schemas.microsoft.com/office/drawing/2014/main" id="{082AA723-2747-97E3-641F-9D4EF691A084}"/>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0]!Go_to_ME"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FCD2BE99-056B-46A4-876C-DFC7C2D24689}"/>
            </a:ext>
          </a:extLst>
        </xdr:cNvPr>
        <xdr:cNvSpPr/>
      </xdr:nvSpPr>
      <xdr:spPr>
        <a:xfrm>
          <a:off x="180975" y="3434715"/>
          <a:ext cx="1695450" cy="34099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0]!Go_to_Economic"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631D4735-E45A-41EB-A065-7F5195A94449}"/>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0]!Go_to_Environmental"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652EC5EE-94F8-4AC5-9209-75722B941C1D}"/>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0]!Go_to_summary"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0A97F6E6-CA7D-4EFB-9E1E-83C4F410025D}"/>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macro="[0]!Pathway">
      <xdr:nvPicPr>
        <xdr:cNvPr id="23" name="Picture 22">
          <a:extLst>
            <a:ext uri="{FF2B5EF4-FFF2-40B4-BE49-F238E27FC236}">
              <a16:creationId xmlns:a16="http://schemas.microsoft.com/office/drawing/2014/main" id="{B3E73A3A-ECD4-4A83-956F-6D272F8F05DA}"/>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DD7D362D-5CC3-46FD-B0CD-A32411151683}"/>
            </a:ext>
          </a:extLst>
        </xdr:cNvPr>
        <xdr:cNvSpPr/>
      </xdr:nvSpPr>
      <xdr:spPr>
        <a:xfrm>
          <a:off x="62960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146FC4CE-F460-4108-99CA-701DD6C3A804}"/>
            </a:ext>
          </a:extLst>
        </xdr:cNvPr>
        <xdr:cNvSpPr/>
      </xdr:nvSpPr>
      <xdr:spPr>
        <a:xfrm>
          <a:off x="84677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CF03E091-B03E-40D8-9538-8B57D5A4D19E}"/>
            </a:ext>
          </a:extLst>
        </xdr:cNvPr>
        <xdr:cNvSpPr/>
      </xdr:nvSpPr>
      <xdr:spPr>
        <a:xfrm>
          <a:off x="106299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macro="[0]!Pathway_PFD">
      <xdr:nvPicPr>
        <xdr:cNvPr id="27" name="Picture 26">
          <a:extLst>
            <a:ext uri="{FF2B5EF4-FFF2-40B4-BE49-F238E27FC236}">
              <a16:creationId xmlns:a16="http://schemas.microsoft.com/office/drawing/2014/main" id="{B32B823F-A53E-44A0-8D61-B514C522ABE3}"/>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macro="[0]!Pathway_ME">
      <xdr:nvPicPr>
        <xdr:cNvPr id="28" name="Picture 27">
          <a:extLst>
            <a:ext uri="{FF2B5EF4-FFF2-40B4-BE49-F238E27FC236}">
              <a16:creationId xmlns:a16="http://schemas.microsoft.com/office/drawing/2014/main" id="{29A5A481-4E52-4923-B1C9-B2135FB36549}"/>
            </a:ext>
          </a:extLst>
        </xdr:cNvPr>
        <xdr:cNvPicPr>
          <a:picLocks noChangeAspect="1"/>
        </xdr:cNvPicPr>
      </xdr:nvPicPr>
      <xdr:blipFill>
        <a:blip xmlns:r="http://schemas.openxmlformats.org/officeDocument/2006/relationships" r:embed="rId14"/>
        <a:stretch>
          <a:fillRect/>
        </a:stretch>
      </xdr:blipFill>
      <xdr:spPr>
        <a:xfrm>
          <a:off x="2743200" y="6457950"/>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macro="[0]!Pathway_Economic">
      <xdr:nvPicPr>
        <xdr:cNvPr id="29" name="Picture 28">
          <a:extLst>
            <a:ext uri="{FF2B5EF4-FFF2-40B4-BE49-F238E27FC236}">
              <a16:creationId xmlns:a16="http://schemas.microsoft.com/office/drawing/2014/main" id="{220FA562-4005-4DD4-A27D-1DDE7D44313E}"/>
            </a:ext>
          </a:extLst>
        </xdr:cNvPr>
        <xdr:cNvPicPr>
          <a:picLocks noChangeAspect="1"/>
        </xdr:cNvPicPr>
      </xdr:nvPicPr>
      <xdr:blipFill>
        <a:blip xmlns:r="http://schemas.openxmlformats.org/officeDocument/2006/relationships" r:embed="rId14"/>
        <a:stretch>
          <a:fillRect/>
        </a:stretch>
      </xdr:blipFill>
      <xdr:spPr>
        <a:xfrm>
          <a:off x="2733675" y="133254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macro="[0]!Pathway_Environment">
      <xdr:nvPicPr>
        <xdr:cNvPr id="30" name="Picture 29">
          <a:extLst>
            <a:ext uri="{FF2B5EF4-FFF2-40B4-BE49-F238E27FC236}">
              <a16:creationId xmlns:a16="http://schemas.microsoft.com/office/drawing/2014/main" id="{C2BBFDBD-0565-4F90-B3DC-D65C1429640F}"/>
            </a:ext>
          </a:extLst>
        </xdr:cNvPr>
        <xdr:cNvPicPr>
          <a:picLocks noChangeAspect="1"/>
        </xdr:cNvPicPr>
      </xdr:nvPicPr>
      <xdr:blipFill>
        <a:blip xmlns:r="http://schemas.openxmlformats.org/officeDocument/2006/relationships" r:embed="rId14"/>
        <a:stretch>
          <a:fillRect/>
        </a:stretch>
      </xdr:blipFill>
      <xdr:spPr>
        <a:xfrm>
          <a:off x="3038475" y="22898100"/>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1" name="Group 30">
          <a:extLst>
            <a:ext uri="{FF2B5EF4-FFF2-40B4-BE49-F238E27FC236}">
              <a16:creationId xmlns:a16="http://schemas.microsoft.com/office/drawing/2014/main" id="{F8504F96-7F89-4B30-8AAC-FAC62ED9F634}"/>
            </a:ext>
          </a:extLst>
        </xdr:cNvPr>
        <xdr:cNvGrpSpPr/>
      </xdr:nvGrpSpPr>
      <xdr:grpSpPr>
        <a:xfrm>
          <a:off x="506730" y="10203180"/>
          <a:ext cx="904875" cy="723900"/>
          <a:chOff x="12771120" y="8145780"/>
          <a:chExt cx="906780" cy="739140"/>
        </a:xfrm>
      </xdr:grpSpPr>
      <xdr:pic macro="[0]!Top_of_page">
        <xdr:nvPicPr>
          <xdr:cNvPr id="32" name="Picture 31">
            <a:extLst>
              <a:ext uri="{FF2B5EF4-FFF2-40B4-BE49-F238E27FC236}">
                <a16:creationId xmlns:a16="http://schemas.microsoft.com/office/drawing/2014/main" id="{A82D6D09-05E1-5997-09FC-29686F2CCD8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3" name="TextBox 32">
            <a:extLst>
              <a:ext uri="{FF2B5EF4-FFF2-40B4-BE49-F238E27FC236}">
                <a16:creationId xmlns:a16="http://schemas.microsoft.com/office/drawing/2014/main" id="{B562B1C1-F2CE-06AF-5176-9B6D8471146C}"/>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4" name="Group 33">
          <a:extLst>
            <a:ext uri="{FF2B5EF4-FFF2-40B4-BE49-F238E27FC236}">
              <a16:creationId xmlns:a16="http://schemas.microsoft.com/office/drawing/2014/main" id="{F3C3011B-338A-40D7-A607-1432C686C77A}"/>
            </a:ext>
          </a:extLst>
        </xdr:cNvPr>
        <xdr:cNvGrpSpPr/>
      </xdr:nvGrpSpPr>
      <xdr:grpSpPr>
        <a:xfrm>
          <a:off x="544830" y="21219795"/>
          <a:ext cx="904875" cy="733425"/>
          <a:chOff x="12771120" y="8145780"/>
          <a:chExt cx="906780" cy="739140"/>
        </a:xfrm>
      </xdr:grpSpPr>
      <xdr:pic macro="[0]!Top_of_page">
        <xdr:nvPicPr>
          <xdr:cNvPr id="35" name="Picture 34">
            <a:extLst>
              <a:ext uri="{FF2B5EF4-FFF2-40B4-BE49-F238E27FC236}">
                <a16:creationId xmlns:a16="http://schemas.microsoft.com/office/drawing/2014/main" id="{8DA599D2-2DD0-75D4-0173-61CE29220AC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F09BC74A-FF7B-1BAD-2526-12DABA97D7ED}"/>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37" name="Group 36">
          <a:extLst>
            <a:ext uri="{FF2B5EF4-FFF2-40B4-BE49-F238E27FC236}">
              <a16:creationId xmlns:a16="http://schemas.microsoft.com/office/drawing/2014/main" id="{66153375-3973-44EC-AFB5-4A4D95FB13E1}"/>
            </a:ext>
          </a:extLst>
        </xdr:cNvPr>
        <xdr:cNvGrpSpPr/>
      </xdr:nvGrpSpPr>
      <xdr:grpSpPr>
        <a:xfrm>
          <a:off x="506730" y="28342590"/>
          <a:ext cx="904875" cy="735330"/>
          <a:chOff x="12771120" y="8145780"/>
          <a:chExt cx="906780" cy="739140"/>
        </a:xfrm>
      </xdr:grpSpPr>
      <xdr:pic macro="[0]!Top_of_page">
        <xdr:nvPicPr>
          <xdr:cNvPr id="38" name="Picture 37">
            <a:extLst>
              <a:ext uri="{FF2B5EF4-FFF2-40B4-BE49-F238E27FC236}">
                <a16:creationId xmlns:a16="http://schemas.microsoft.com/office/drawing/2014/main" id="{E2977924-1BC9-9810-D675-7F0F815A22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8519190F-9403-5C3F-4BD8-570695CD291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macro="[0]!Contribution_analysis">
      <xdr:nvPicPr>
        <xdr:cNvPr id="40" name="Picture 39">
          <a:extLst>
            <a:ext uri="{FF2B5EF4-FFF2-40B4-BE49-F238E27FC236}">
              <a16:creationId xmlns:a16="http://schemas.microsoft.com/office/drawing/2014/main" id="{E527C76C-3CA4-40B5-8693-B0E73802C12C}"/>
            </a:ext>
          </a:extLst>
        </xdr:cNvPr>
        <xdr:cNvPicPr>
          <a:picLocks noChangeAspect="1"/>
        </xdr:cNvPicPr>
      </xdr:nvPicPr>
      <xdr:blipFill>
        <a:blip xmlns:r="http://schemas.openxmlformats.org/officeDocument/2006/relationships" r:embed="rId18"/>
        <a:stretch>
          <a:fillRect/>
        </a:stretch>
      </xdr:blipFill>
      <xdr:spPr>
        <a:xfrm>
          <a:off x="3505200" y="2937510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41" name="Rectangle: Rounded Corners 40" descr="ee03ab9c-5e7c-4328-9db4-0c69115286c9">
          <a:hlinkClick xmlns:r="http://schemas.openxmlformats.org/officeDocument/2006/relationships" r:id="rId19"/>
          <a:extLst>
            <a:ext uri="{FF2B5EF4-FFF2-40B4-BE49-F238E27FC236}">
              <a16:creationId xmlns:a16="http://schemas.microsoft.com/office/drawing/2014/main" id="{53E1932B-8B9E-4B7A-A2BA-DC2A1AEEEACC}"/>
            </a:ext>
          </a:extLst>
        </xdr:cNvPr>
        <xdr:cNvSpPr/>
      </xdr:nvSpPr>
      <xdr:spPr>
        <a:xfrm>
          <a:off x="127825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42" name="Group 41">
          <a:extLst>
            <a:ext uri="{FF2B5EF4-FFF2-40B4-BE49-F238E27FC236}">
              <a16:creationId xmlns:a16="http://schemas.microsoft.com/office/drawing/2014/main" id="{0420E932-9475-4C1F-A959-51FBA987E79E}"/>
            </a:ext>
          </a:extLst>
        </xdr:cNvPr>
        <xdr:cNvGrpSpPr/>
      </xdr:nvGrpSpPr>
      <xdr:grpSpPr>
        <a:xfrm>
          <a:off x="929640" y="2491740"/>
          <a:ext cx="609600" cy="653415"/>
          <a:chOff x="13464540" y="68580"/>
          <a:chExt cx="609600" cy="662940"/>
        </a:xfrm>
      </xdr:grpSpPr>
      <xdr:pic macro="[0]!Next_worksheet">
        <xdr:nvPicPr>
          <xdr:cNvPr id="43" name="Picture 42">
            <a:extLst>
              <a:ext uri="{FF2B5EF4-FFF2-40B4-BE49-F238E27FC236}">
                <a16:creationId xmlns:a16="http://schemas.microsoft.com/office/drawing/2014/main" id="{FEBE095A-B7C1-C2CD-A202-4293E083242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4" name="TextBox 43">
            <a:extLst>
              <a:ext uri="{FF2B5EF4-FFF2-40B4-BE49-F238E27FC236}">
                <a16:creationId xmlns:a16="http://schemas.microsoft.com/office/drawing/2014/main" id="{2C64D76F-BB77-4D42-8D21-740513C0346D}"/>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5" name="Group 44">
          <a:extLst>
            <a:ext uri="{FF2B5EF4-FFF2-40B4-BE49-F238E27FC236}">
              <a16:creationId xmlns:a16="http://schemas.microsoft.com/office/drawing/2014/main" id="{9DAF4B28-A9A7-4981-B8A5-DFD0E0062C5B}"/>
            </a:ext>
          </a:extLst>
        </xdr:cNvPr>
        <xdr:cNvGrpSpPr/>
      </xdr:nvGrpSpPr>
      <xdr:grpSpPr>
        <a:xfrm>
          <a:off x="548640" y="30499050"/>
          <a:ext cx="914400" cy="733425"/>
          <a:chOff x="12771120" y="8145780"/>
          <a:chExt cx="906780" cy="739140"/>
        </a:xfrm>
      </xdr:grpSpPr>
      <xdr:pic macro="[0]!Top_of_page">
        <xdr:nvPicPr>
          <xdr:cNvPr id="46" name="Picture 45">
            <a:extLst>
              <a:ext uri="{FF2B5EF4-FFF2-40B4-BE49-F238E27FC236}">
                <a16:creationId xmlns:a16="http://schemas.microsoft.com/office/drawing/2014/main" id="{3F974559-0A9E-D00D-2C10-B0E16FC379E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7" name="TextBox 46">
            <a:extLst>
              <a:ext uri="{FF2B5EF4-FFF2-40B4-BE49-F238E27FC236}">
                <a16:creationId xmlns:a16="http://schemas.microsoft.com/office/drawing/2014/main" id="{F0AF242F-E4FC-4AD5-0A48-187DFC6DEF14}"/>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8" name="Group 47">
          <a:extLst>
            <a:ext uri="{FF2B5EF4-FFF2-40B4-BE49-F238E27FC236}">
              <a16:creationId xmlns:a16="http://schemas.microsoft.com/office/drawing/2014/main" id="{B6D4AEE0-12F7-4B9A-87E2-13A753DED717}"/>
            </a:ext>
          </a:extLst>
        </xdr:cNvPr>
        <xdr:cNvGrpSpPr/>
      </xdr:nvGrpSpPr>
      <xdr:grpSpPr>
        <a:xfrm>
          <a:off x="548640" y="32158305"/>
          <a:ext cx="914400" cy="723900"/>
          <a:chOff x="12771120" y="8145780"/>
          <a:chExt cx="906780" cy="739140"/>
        </a:xfrm>
      </xdr:grpSpPr>
      <xdr:pic macro="[0]!Top_of_page">
        <xdr:nvPicPr>
          <xdr:cNvPr id="49" name="Picture 48">
            <a:extLst>
              <a:ext uri="{FF2B5EF4-FFF2-40B4-BE49-F238E27FC236}">
                <a16:creationId xmlns:a16="http://schemas.microsoft.com/office/drawing/2014/main" id="{56D6D25C-4011-C846-A88F-5D0F7A066F7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0" name="TextBox 49">
            <a:extLst>
              <a:ext uri="{FF2B5EF4-FFF2-40B4-BE49-F238E27FC236}">
                <a16:creationId xmlns:a16="http://schemas.microsoft.com/office/drawing/2014/main" id="{642B9A70-6B00-0FE4-DF86-4D32E2DD12F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macro="[0]!OATsensitivity_analysis">
      <xdr:nvPicPr>
        <xdr:cNvPr id="51" name="Picture 50">
          <a:extLst>
            <a:ext uri="{FF2B5EF4-FFF2-40B4-BE49-F238E27FC236}">
              <a16:creationId xmlns:a16="http://schemas.microsoft.com/office/drawing/2014/main" id="{82428B26-F6F6-43FE-99BD-4465EEC5912F}"/>
            </a:ext>
          </a:extLst>
        </xdr:cNvPr>
        <xdr:cNvPicPr>
          <a:picLocks noChangeAspect="1"/>
        </xdr:cNvPicPr>
      </xdr:nvPicPr>
      <xdr:blipFill>
        <a:blip xmlns:r="http://schemas.openxmlformats.org/officeDocument/2006/relationships" r:embed="rId18"/>
        <a:stretch>
          <a:fillRect/>
        </a:stretch>
      </xdr:blipFill>
      <xdr:spPr>
        <a:xfrm>
          <a:off x="4295775" y="3094672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macro="[0]!scenario_analysis">
      <xdr:nvPicPr>
        <xdr:cNvPr id="52" name="Picture 51">
          <a:extLst>
            <a:ext uri="{FF2B5EF4-FFF2-40B4-BE49-F238E27FC236}">
              <a16:creationId xmlns:a16="http://schemas.microsoft.com/office/drawing/2014/main" id="{667DFCE8-15F1-4F1F-9115-6FC009AD6365}"/>
            </a:ext>
          </a:extLst>
        </xdr:cNvPr>
        <xdr:cNvPicPr>
          <a:picLocks noChangeAspect="1"/>
        </xdr:cNvPicPr>
      </xdr:nvPicPr>
      <xdr:blipFill>
        <a:blip xmlns:r="http://schemas.openxmlformats.org/officeDocument/2006/relationships" r:embed="rId18"/>
        <a:stretch>
          <a:fillRect/>
        </a:stretch>
      </xdr:blipFill>
      <xdr:spPr>
        <a:xfrm>
          <a:off x="6019800" y="32651700"/>
          <a:ext cx="134124" cy="134124"/>
        </a:xfrm>
        <a:prstGeom prst="rect">
          <a:avLst/>
        </a:prstGeom>
      </xdr:spPr>
    </xdr:pic>
    <xdr:clientData/>
  </xdr:twoCellAnchor>
  <xdr:twoCellAnchor>
    <xdr:from>
      <xdr:col>2</xdr:col>
      <xdr:colOff>198120</xdr:colOff>
      <xdr:row>8</xdr:row>
      <xdr:rowOff>459105</xdr:rowOff>
    </xdr:from>
    <xdr:to>
      <xdr:col>3</xdr:col>
      <xdr:colOff>649605</xdr:colOff>
      <xdr:row>15</xdr:row>
      <xdr:rowOff>9525</xdr:rowOff>
    </xdr:to>
    <xdr:sp macro="" textlink="">
      <xdr:nvSpPr>
        <xdr:cNvPr id="68" name="Rectangle: Rounded Corners 67" descr="49ba1274-98d9-4a91-b0d2-3a1a8768a01d">
          <a:extLst>
            <a:ext uri="{FF2B5EF4-FFF2-40B4-BE49-F238E27FC236}">
              <a16:creationId xmlns:a16="http://schemas.microsoft.com/office/drawing/2014/main" id="{57483327-4233-464A-962E-5287209B664F}"/>
            </a:ext>
          </a:extLst>
        </xdr:cNvPr>
        <xdr:cNvSpPr/>
      </xdr:nvSpPr>
      <xdr:spPr>
        <a:xfrm>
          <a:off x="5093970" y="3392805"/>
          <a:ext cx="2032635" cy="10172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t> </a:t>
          </a:r>
        </a:p>
      </xdr:txBody>
    </xdr:sp>
    <xdr:clientData/>
  </xdr:twoCellAnchor>
  <xdr:twoCellAnchor>
    <xdr:from>
      <xdr:col>1</xdr:col>
      <xdr:colOff>1798320</xdr:colOff>
      <xdr:row>10</xdr:row>
      <xdr:rowOff>93345</xdr:rowOff>
    </xdr:from>
    <xdr:to>
      <xdr:col>2</xdr:col>
      <xdr:colOff>207645</xdr:colOff>
      <xdr:row>10</xdr:row>
      <xdr:rowOff>93345</xdr:rowOff>
    </xdr:to>
    <xdr:cxnSp macro="">
      <xdr:nvCxnSpPr>
        <xdr:cNvPr id="69" name="Straight Arrow Connector 68" descr="d5d64618-d424-4e5b-a943-e01d69a1fa13">
          <a:extLst>
            <a:ext uri="{FF2B5EF4-FFF2-40B4-BE49-F238E27FC236}">
              <a16:creationId xmlns:a16="http://schemas.microsoft.com/office/drawing/2014/main" id="{311E2695-CB69-420B-B69C-FFA88C612AE4}"/>
            </a:ext>
          </a:extLst>
        </xdr:cNvPr>
        <xdr:cNvCxnSpPr/>
      </xdr:nvCxnSpPr>
      <xdr:spPr>
        <a:xfrm>
          <a:off x="3903345" y="3741420"/>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8</xdr:row>
      <xdr:rowOff>361950</xdr:rowOff>
    </xdr:from>
    <xdr:to>
      <xdr:col>1</xdr:col>
      <xdr:colOff>2609850</xdr:colOff>
      <xdr:row>10</xdr:row>
      <xdr:rowOff>30480</xdr:rowOff>
    </xdr:to>
    <xdr:sp macro="" textlink="">
      <xdr:nvSpPr>
        <xdr:cNvPr id="70" name="Rectangle 69" descr="1345391e-2296-4e03-88ce-f2bd62ecf9fc">
          <a:extLst>
            <a:ext uri="{FF2B5EF4-FFF2-40B4-BE49-F238E27FC236}">
              <a16:creationId xmlns:a16="http://schemas.microsoft.com/office/drawing/2014/main" id="{CFBCA56E-07A8-4ED4-A739-0DFFB20858A9}"/>
            </a:ext>
          </a:extLst>
        </xdr:cNvPr>
        <xdr:cNvSpPr/>
      </xdr:nvSpPr>
      <xdr:spPr>
        <a:xfrm>
          <a:off x="2676525" y="3295650"/>
          <a:ext cx="2038350" cy="382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solidFill>
                <a:schemeClr val="tx1"/>
              </a:solidFill>
            </a:rPr>
            <a:t> Add mass/energy flow</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95250</xdr:rowOff>
    </xdr:from>
    <xdr:to>
      <xdr:col>9</xdr:col>
      <xdr:colOff>304165</xdr:colOff>
      <xdr:row>0</xdr:row>
      <xdr:rowOff>1769322</xdr:rowOff>
    </xdr:to>
    <xdr:grpSp>
      <xdr:nvGrpSpPr>
        <xdr:cNvPr id="53" name="Group 52">
          <a:extLst>
            <a:ext uri="{FF2B5EF4-FFF2-40B4-BE49-F238E27FC236}">
              <a16:creationId xmlns:a16="http://schemas.microsoft.com/office/drawing/2014/main" id="{357B5D12-BBA2-497B-B567-3E7B58DDB8F9}"/>
            </a:ext>
          </a:extLst>
        </xdr:cNvPr>
        <xdr:cNvGrpSpPr/>
      </xdr:nvGrpSpPr>
      <xdr:grpSpPr>
        <a:xfrm>
          <a:off x="205740" y="91440"/>
          <a:ext cx="16462375" cy="1681692"/>
          <a:chOff x="171450" y="91441"/>
          <a:chExt cx="16462375" cy="1683597"/>
        </a:xfrm>
      </xdr:grpSpPr>
      <xdr:pic>
        <xdr:nvPicPr>
          <xdr:cNvPr id="54" name="Picture 53">
            <a:extLst>
              <a:ext uri="{FF2B5EF4-FFF2-40B4-BE49-F238E27FC236}">
                <a16:creationId xmlns:a16="http://schemas.microsoft.com/office/drawing/2014/main" id="{AC9264DC-589B-4446-92A8-03E21FCF3708}"/>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5" name="Group 54">
            <a:extLst>
              <a:ext uri="{FF2B5EF4-FFF2-40B4-BE49-F238E27FC236}">
                <a16:creationId xmlns:a16="http://schemas.microsoft.com/office/drawing/2014/main" id="{3AFDE022-BAAA-46BC-87DA-2E627D23FC66}"/>
              </a:ext>
            </a:extLst>
          </xdr:cNvPr>
          <xdr:cNvGrpSpPr/>
        </xdr:nvGrpSpPr>
        <xdr:grpSpPr>
          <a:xfrm>
            <a:off x="167640" y="95251"/>
            <a:ext cx="16462375" cy="1675977"/>
            <a:chOff x="167640" y="95251"/>
            <a:chExt cx="16462375" cy="1675977"/>
          </a:xfrm>
        </xdr:grpSpPr>
        <xdr:grpSp>
          <xdr:nvGrpSpPr>
            <xdr:cNvPr id="56" name="Group 55">
              <a:extLst>
                <a:ext uri="{FF2B5EF4-FFF2-40B4-BE49-F238E27FC236}">
                  <a16:creationId xmlns:a16="http://schemas.microsoft.com/office/drawing/2014/main" id="{802CFAE4-9B81-438B-8325-F7F40232F919}"/>
                </a:ext>
              </a:extLst>
            </xdr:cNvPr>
            <xdr:cNvGrpSpPr/>
          </xdr:nvGrpSpPr>
          <xdr:grpSpPr>
            <a:xfrm>
              <a:off x="171450" y="91441"/>
              <a:ext cx="16462375" cy="1683597"/>
              <a:chOff x="171449" y="38100"/>
              <a:chExt cx="16659225" cy="1704975"/>
            </a:xfrm>
          </xdr:grpSpPr>
          <xdr:grpSp>
            <xdr:nvGrpSpPr>
              <xdr:cNvPr id="58" name="Group 57">
                <a:extLst>
                  <a:ext uri="{FF2B5EF4-FFF2-40B4-BE49-F238E27FC236}">
                    <a16:creationId xmlns:a16="http://schemas.microsoft.com/office/drawing/2014/main" id="{7CC1F69B-1ECD-4F4B-A410-B85756E914C8}"/>
                  </a:ext>
                </a:extLst>
              </xdr:cNvPr>
              <xdr:cNvGrpSpPr/>
            </xdr:nvGrpSpPr>
            <xdr:grpSpPr>
              <a:xfrm>
                <a:off x="171449" y="38100"/>
                <a:ext cx="16659225" cy="1704975"/>
                <a:chOff x="171449" y="38100"/>
                <a:chExt cx="16659225" cy="1704975"/>
              </a:xfrm>
            </xdr:grpSpPr>
            <xdr:pic>
              <xdr:nvPicPr>
                <xdr:cNvPr id="61" name="Picture 60" descr="catalisti.be">
                  <a:extLst>
                    <a:ext uri="{FF2B5EF4-FFF2-40B4-BE49-F238E27FC236}">
                      <a16:creationId xmlns:a16="http://schemas.microsoft.com/office/drawing/2014/main" id="{7BABA72C-94F9-4D5C-9E37-989BD89E64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2" name="Rectangle 61">
                  <a:extLst>
                    <a:ext uri="{FF2B5EF4-FFF2-40B4-BE49-F238E27FC236}">
                      <a16:creationId xmlns:a16="http://schemas.microsoft.com/office/drawing/2014/main" id="{CD44E7E0-A633-4ED7-9F53-249C08655887}"/>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3" name="Rectangle: Rounded Corners 62">
                  <a:extLst>
                    <a:ext uri="{FF2B5EF4-FFF2-40B4-BE49-F238E27FC236}">
                      <a16:creationId xmlns:a16="http://schemas.microsoft.com/office/drawing/2014/main" id="{FBE9FA1D-2458-4D30-B1E5-74FDA342BE9B}"/>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4" name="Picture 63">
                  <a:extLst>
                    <a:ext uri="{FF2B5EF4-FFF2-40B4-BE49-F238E27FC236}">
                      <a16:creationId xmlns:a16="http://schemas.microsoft.com/office/drawing/2014/main" id="{023D97EA-F823-44E4-A5A6-1E06D348D22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5" name="Picture 64">
                  <a:extLst>
                    <a:ext uri="{FF2B5EF4-FFF2-40B4-BE49-F238E27FC236}">
                      <a16:creationId xmlns:a16="http://schemas.microsoft.com/office/drawing/2014/main" id="{BBE86186-FB0F-4531-90B5-EFF90FF0EFA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6" name="Picture 65">
                  <a:extLst>
                    <a:ext uri="{FF2B5EF4-FFF2-40B4-BE49-F238E27FC236}">
                      <a16:creationId xmlns:a16="http://schemas.microsoft.com/office/drawing/2014/main" id="{E4662D52-DDB4-4926-A8DD-A6A1E21AC5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7" name="Picture 66">
                  <a:extLst>
                    <a:ext uri="{FF2B5EF4-FFF2-40B4-BE49-F238E27FC236}">
                      <a16:creationId xmlns:a16="http://schemas.microsoft.com/office/drawing/2014/main" id="{C95B22FE-803D-4A82-BDAA-6CD27DCEE665}"/>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9" name="Picture 58">
                <a:extLst>
                  <a:ext uri="{FF2B5EF4-FFF2-40B4-BE49-F238E27FC236}">
                    <a16:creationId xmlns:a16="http://schemas.microsoft.com/office/drawing/2014/main" id="{D151D8E2-D84B-4344-936F-7752E7A886F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0" name="TextBox 59">
                <a:extLst>
                  <a:ext uri="{FF2B5EF4-FFF2-40B4-BE49-F238E27FC236}">
                    <a16:creationId xmlns:a16="http://schemas.microsoft.com/office/drawing/2014/main" id="{6DF8F158-4E9B-4E18-A37F-C92DEA650B59}"/>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7" name="Picture 56">
              <a:extLst>
                <a:ext uri="{FF2B5EF4-FFF2-40B4-BE49-F238E27FC236}">
                  <a16:creationId xmlns:a16="http://schemas.microsoft.com/office/drawing/2014/main" id="{A3590AAB-D22E-4D62-8072-432652B3137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6" name="Group 15">
          <a:extLst>
            <a:ext uri="{FF2B5EF4-FFF2-40B4-BE49-F238E27FC236}">
              <a16:creationId xmlns:a16="http://schemas.microsoft.com/office/drawing/2014/main" id="{01FB0FD1-400E-4D87-A931-17CE3AAF0083}"/>
            </a:ext>
          </a:extLst>
        </xdr:cNvPr>
        <xdr:cNvGrpSpPr/>
      </xdr:nvGrpSpPr>
      <xdr:grpSpPr>
        <a:xfrm>
          <a:off x="354330" y="2476500"/>
          <a:ext cx="609600" cy="668655"/>
          <a:chOff x="12801600" y="129540"/>
          <a:chExt cx="609600" cy="685800"/>
        </a:xfrm>
      </xdr:grpSpPr>
      <xdr:pic macro="[0]!Previous_worksheet">
        <xdr:nvPicPr>
          <xdr:cNvPr id="17" name="Picture 16">
            <a:extLst>
              <a:ext uri="{FF2B5EF4-FFF2-40B4-BE49-F238E27FC236}">
                <a16:creationId xmlns:a16="http://schemas.microsoft.com/office/drawing/2014/main" id="{7D91977E-EEE9-06E1-403A-9B08563F6C9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8" name="TextBox 17">
            <a:extLst>
              <a:ext uri="{FF2B5EF4-FFF2-40B4-BE49-F238E27FC236}">
                <a16:creationId xmlns:a16="http://schemas.microsoft.com/office/drawing/2014/main" id="{16EAA877-0174-D5A3-80BA-357EAF56C87D}"/>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0]!Go_to_ME"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79F91D35-411B-4BE7-8B35-740470027720}"/>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0]!Go_to_Economic"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B454E71B-5905-49E7-A81B-99B23F0B264B}"/>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0]!Go_to_Environmental"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6AAAE36D-90B1-4335-BCF9-7EA64A7E8A95}"/>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0]!Go_to_summary"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F15A61AC-DC85-425D-B43A-333AB62A210C}"/>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macro="[0]!Pathway">
      <xdr:nvPicPr>
        <xdr:cNvPr id="23" name="Picture 22">
          <a:extLst>
            <a:ext uri="{FF2B5EF4-FFF2-40B4-BE49-F238E27FC236}">
              <a16:creationId xmlns:a16="http://schemas.microsoft.com/office/drawing/2014/main" id="{82A20153-5F03-46AD-B554-10B1D226F6EC}"/>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7770E829-3DA4-44D4-BEE4-9EEA0034BA2F}"/>
            </a:ext>
          </a:extLst>
        </xdr:cNvPr>
        <xdr:cNvSpPr/>
      </xdr:nvSpPr>
      <xdr:spPr>
        <a:xfrm>
          <a:off x="62960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8527FC28-0C70-4285-A609-7871FB3BB2F2}"/>
            </a:ext>
          </a:extLst>
        </xdr:cNvPr>
        <xdr:cNvSpPr/>
      </xdr:nvSpPr>
      <xdr:spPr>
        <a:xfrm>
          <a:off x="84677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516D3F18-380A-482A-AD12-8B5C5EF75C6D}"/>
            </a:ext>
          </a:extLst>
        </xdr:cNvPr>
        <xdr:cNvSpPr/>
      </xdr:nvSpPr>
      <xdr:spPr>
        <a:xfrm>
          <a:off x="106299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macro="[0]!Pathway_PFD">
      <xdr:nvPicPr>
        <xdr:cNvPr id="27" name="Picture 26">
          <a:extLst>
            <a:ext uri="{FF2B5EF4-FFF2-40B4-BE49-F238E27FC236}">
              <a16:creationId xmlns:a16="http://schemas.microsoft.com/office/drawing/2014/main" id="{2C6E5367-3F79-45CA-98BE-5010963FC0C7}"/>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macro="[0]!Pathway_ME">
      <xdr:nvPicPr>
        <xdr:cNvPr id="28" name="Picture 27">
          <a:extLst>
            <a:ext uri="{FF2B5EF4-FFF2-40B4-BE49-F238E27FC236}">
              <a16:creationId xmlns:a16="http://schemas.microsoft.com/office/drawing/2014/main" id="{CEFF9984-5789-44EF-BB6B-EFA26AAD3580}"/>
            </a:ext>
          </a:extLst>
        </xdr:cNvPr>
        <xdr:cNvPicPr>
          <a:picLocks noChangeAspect="1"/>
        </xdr:cNvPicPr>
      </xdr:nvPicPr>
      <xdr:blipFill>
        <a:blip xmlns:r="http://schemas.openxmlformats.org/officeDocument/2006/relationships" r:embed="rId14"/>
        <a:stretch>
          <a:fillRect/>
        </a:stretch>
      </xdr:blipFill>
      <xdr:spPr>
        <a:xfrm>
          <a:off x="2743200" y="6457950"/>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macro="[0]!Pathway_Economic">
      <xdr:nvPicPr>
        <xdr:cNvPr id="29" name="Picture 28">
          <a:extLst>
            <a:ext uri="{FF2B5EF4-FFF2-40B4-BE49-F238E27FC236}">
              <a16:creationId xmlns:a16="http://schemas.microsoft.com/office/drawing/2014/main" id="{39C7C1B7-5F42-47AF-AA5F-F97983D0498E}"/>
            </a:ext>
          </a:extLst>
        </xdr:cNvPr>
        <xdr:cNvPicPr>
          <a:picLocks noChangeAspect="1"/>
        </xdr:cNvPicPr>
      </xdr:nvPicPr>
      <xdr:blipFill>
        <a:blip xmlns:r="http://schemas.openxmlformats.org/officeDocument/2006/relationships" r:embed="rId14"/>
        <a:stretch>
          <a:fillRect/>
        </a:stretch>
      </xdr:blipFill>
      <xdr:spPr>
        <a:xfrm>
          <a:off x="2733675" y="133254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macro="[0]!Pathway_Environment">
      <xdr:nvPicPr>
        <xdr:cNvPr id="30" name="Picture 29">
          <a:extLst>
            <a:ext uri="{FF2B5EF4-FFF2-40B4-BE49-F238E27FC236}">
              <a16:creationId xmlns:a16="http://schemas.microsoft.com/office/drawing/2014/main" id="{C8DCAB62-8535-409C-9D86-AB50A9B8AF9E}"/>
            </a:ext>
          </a:extLst>
        </xdr:cNvPr>
        <xdr:cNvPicPr>
          <a:picLocks noChangeAspect="1"/>
        </xdr:cNvPicPr>
      </xdr:nvPicPr>
      <xdr:blipFill>
        <a:blip xmlns:r="http://schemas.openxmlformats.org/officeDocument/2006/relationships" r:embed="rId14"/>
        <a:stretch>
          <a:fillRect/>
        </a:stretch>
      </xdr:blipFill>
      <xdr:spPr>
        <a:xfrm>
          <a:off x="3038475" y="22898100"/>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1" name="Group 30">
          <a:extLst>
            <a:ext uri="{FF2B5EF4-FFF2-40B4-BE49-F238E27FC236}">
              <a16:creationId xmlns:a16="http://schemas.microsoft.com/office/drawing/2014/main" id="{8F34DF6C-A7BE-44D6-8B09-011AE7768CE8}"/>
            </a:ext>
          </a:extLst>
        </xdr:cNvPr>
        <xdr:cNvGrpSpPr/>
      </xdr:nvGrpSpPr>
      <xdr:grpSpPr>
        <a:xfrm>
          <a:off x="506730" y="10203180"/>
          <a:ext cx="904875" cy="723900"/>
          <a:chOff x="12771120" y="8145780"/>
          <a:chExt cx="906780" cy="739140"/>
        </a:xfrm>
      </xdr:grpSpPr>
      <xdr:pic macro="[0]!Top_of_page">
        <xdr:nvPicPr>
          <xdr:cNvPr id="32" name="Picture 31">
            <a:extLst>
              <a:ext uri="{FF2B5EF4-FFF2-40B4-BE49-F238E27FC236}">
                <a16:creationId xmlns:a16="http://schemas.microsoft.com/office/drawing/2014/main" id="{D2208611-C28F-28CC-3D26-75B663C43A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3" name="TextBox 32">
            <a:extLst>
              <a:ext uri="{FF2B5EF4-FFF2-40B4-BE49-F238E27FC236}">
                <a16:creationId xmlns:a16="http://schemas.microsoft.com/office/drawing/2014/main" id="{73D6EA0B-8145-93F8-2375-2F97BF5E9EB8}"/>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4" name="Group 33">
          <a:extLst>
            <a:ext uri="{FF2B5EF4-FFF2-40B4-BE49-F238E27FC236}">
              <a16:creationId xmlns:a16="http://schemas.microsoft.com/office/drawing/2014/main" id="{95E92518-9FE3-4E0F-B1B0-5EA24B57FDCC}"/>
            </a:ext>
          </a:extLst>
        </xdr:cNvPr>
        <xdr:cNvGrpSpPr/>
      </xdr:nvGrpSpPr>
      <xdr:grpSpPr>
        <a:xfrm>
          <a:off x="544830" y="21219795"/>
          <a:ext cx="904875" cy="733425"/>
          <a:chOff x="12771120" y="8145780"/>
          <a:chExt cx="906780" cy="739140"/>
        </a:xfrm>
      </xdr:grpSpPr>
      <xdr:pic macro="[0]!Top_of_page">
        <xdr:nvPicPr>
          <xdr:cNvPr id="35" name="Picture 34">
            <a:extLst>
              <a:ext uri="{FF2B5EF4-FFF2-40B4-BE49-F238E27FC236}">
                <a16:creationId xmlns:a16="http://schemas.microsoft.com/office/drawing/2014/main" id="{335D3283-C2A5-CB0C-8B6E-062A2FF8DAC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EA892960-E8AB-41AB-4F69-D39411D6F62E}"/>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37" name="Group 36">
          <a:extLst>
            <a:ext uri="{FF2B5EF4-FFF2-40B4-BE49-F238E27FC236}">
              <a16:creationId xmlns:a16="http://schemas.microsoft.com/office/drawing/2014/main" id="{F94FD854-D9B0-47D0-BC78-EEF524FE901C}"/>
            </a:ext>
          </a:extLst>
        </xdr:cNvPr>
        <xdr:cNvGrpSpPr/>
      </xdr:nvGrpSpPr>
      <xdr:grpSpPr>
        <a:xfrm>
          <a:off x="506730" y="28342590"/>
          <a:ext cx="904875" cy="735330"/>
          <a:chOff x="12771120" y="8145780"/>
          <a:chExt cx="906780" cy="739140"/>
        </a:xfrm>
      </xdr:grpSpPr>
      <xdr:pic macro="[0]!Top_of_page">
        <xdr:nvPicPr>
          <xdr:cNvPr id="38" name="Picture 37">
            <a:extLst>
              <a:ext uri="{FF2B5EF4-FFF2-40B4-BE49-F238E27FC236}">
                <a16:creationId xmlns:a16="http://schemas.microsoft.com/office/drawing/2014/main" id="{0C46D8E2-042D-FA41-D4BC-6C273C9529B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EEE6CCE6-7783-4030-942E-931AADF94A7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macro="[0]!Contribution_analysis">
      <xdr:nvPicPr>
        <xdr:cNvPr id="40" name="Picture 39">
          <a:extLst>
            <a:ext uri="{FF2B5EF4-FFF2-40B4-BE49-F238E27FC236}">
              <a16:creationId xmlns:a16="http://schemas.microsoft.com/office/drawing/2014/main" id="{70365D67-F8BB-4D73-8FEA-E2D4D2B56BF7}"/>
            </a:ext>
          </a:extLst>
        </xdr:cNvPr>
        <xdr:cNvPicPr>
          <a:picLocks noChangeAspect="1"/>
        </xdr:cNvPicPr>
      </xdr:nvPicPr>
      <xdr:blipFill>
        <a:blip xmlns:r="http://schemas.openxmlformats.org/officeDocument/2006/relationships" r:embed="rId18"/>
        <a:stretch>
          <a:fillRect/>
        </a:stretch>
      </xdr:blipFill>
      <xdr:spPr>
        <a:xfrm>
          <a:off x="3505200" y="2937510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41" name="Rectangle: Rounded Corners 40" descr="ee03ab9c-5e7c-4328-9db4-0c69115286c9">
          <a:hlinkClick xmlns:r="http://schemas.openxmlformats.org/officeDocument/2006/relationships" r:id="rId19"/>
          <a:extLst>
            <a:ext uri="{FF2B5EF4-FFF2-40B4-BE49-F238E27FC236}">
              <a16:creationId xmlns:a16="http://schemas.microsoft.com/office/drawing/2014/main" id="{965953E7-377B-4F2B-9582-4216D91F1906}"/>
            </a:ext>
          </a:extLst>
        </xdr:cNvPr>
        <xdr:cNvSpPr/>
      </xdr:nvSpPr>
      <xdr:spPr>
        <a:xfrm>
          <a:off x="127825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42" name="Group 41">
          <a:extLst>
            <a:ext uri="{FF2B5EF4-FFF2-40B4-BE49-F238E27FC236}">
              <a16:creationId xmlns:a16="http://schemas.microsoft.com/office/drawing/2014/main" id="{D6ECCE35-F0B9-4759-95CA-DD47FD9F1C22}"/>
            </a:ext>
          </a:extLst>
        </xdr:cNvPr>
        <xdr:cNvGrpSpPr/>
      </xdr:nvGrpSpPr>
      <xdr:grpSpPr>
        <a:xfrm>
          <a:off x="929640" y="2491740"/>
          <a:ext cx="609600" cy="653415"/>
          <a:chOff x="13464540" y="68580"/>
          <a:chExt cx="609600" cy="662940"/>
        </a:xfrm>
      </xdr:grpSpPr>
      <xdr:pic macro="[0]!Next_worksheet">
        <xdr:nvPicPr>
          <xdr:cNvPr id="43" name="Picture 42">
            <a:extLst>
              <a:ext uri="{FF2B5EF4-FFF2-40B4-BE49-F238E27FC236}">
                <a16:creationId xmlns:a16="http://schemas.microsoft.com/office/drawing/2014/main" id="{1C96BF16-6CCA-23DD-3B99-16B070195F1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4" name="TextBox 43">
            <a:extLst>
              <a:ext uri="{FF2B5EF4-FFF2-40B4-BE49-F238E27FC236}">
                <a16:creationId xmlns:a16="http://schemas.microsoft.com/office/drawing/2014/main" id="{C10C6925-874B-82C1-42B5-17E692D26975}"/>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5" name="Group 44">
          <a:extLst>
            <a:ext uri="{FF2B5EF4-FFF2-40B4-BE49-F238E27FC236}">
              <a16:creationId xmlns:a16="http://schemas.microsoft.com/office/drawing/2014/main" id="{93057748-F79F-499B-B683-9695FF6F895A}"/>
            </a:ext>
          </a:extLst>
        </xdr:cNvPr>
        <xdr:cNvGrpSpPr/>
      </xdr:nvGrpSpPr>
      <xdr:grpSpPr>
        <a:xfrm>
          <a:off x="548640" y="30499050"/>
          <a:ext cx="914400" cy="733425"/>
          <a:chOff x="12771120" y="8145780"/>
          <a:chExt cx="906780" cy="739140"/>
        </a:xfrm>
      </xdr:grpSpPr>
      <xdr:pic macro="[0]!Top_of_page">
        <xdr:nvPicPr>
          <xdr:cNvPr id="46" name="Picture 45">
            <a:extLst>
              <a:ext uri="{FF2B5EF4-FFF2-40B4-BE49-F238E27FC236}">
                <a16:creationId xmlns:a16="http://schemas.microsoft.com/office/drawing/2014/main" id="{81B935D4-9E22-B3EF-3D8B-710958B369A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7" name="TextBox 46">
            <a:extLst>
              <a:ext uri="{FF2B5EF4-FFF2-40B4-BE49-F238E27FC236}">
                <a16:creationId xmlns:a16="http://schemas.microsoft.com/office/drawing/2014/main" id="{5108E34F-F448-BD33-4566-A6315CACD771}"/>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8" name="Group 47">
          <a:extLst>
            <a:ext uri="{FF2B5EF4-FFF2-40B4-BE49-F238E27FC236}">
              <a16:creationId xmlns:a16="http://schemas.microsoft.com/office/drawing/2014/main" id="{0583A055-E2FB-4CB3-8C18-DDEA0FC7BCB0}"/>
            </a:ext>
          </a:extLst>
        </xdr:cNvPr>
        <xdr:cNvGrpSpPr/>
      </xdr:nvGrpSpPr>
      <xdr:grpSpPr>
        <a:xfrm>
          <a:off x="548640" y="32158305"/>
          <a:ext cx="914400" cy="723900"/>
          <a:chOff x="12771120" y="8145780"/>
          <a:chExt cx="906780" cy="739140"/>
        </a:xfrm>
      </xdr:grpSpPr>
      <xdr:pic macro="[0]!Top_of_page">
        <xdr:nvPicPr>
          <xdr:cNvPr id="49" name="Picture 48">
            <a:extLst>
              <a:ext uri="{FF2B5EF4-FFF2-40B4-BE49-F238E27FC236}">
                <a16:creationId xmlns:a16="http://schemas.microsoft.com/office/drawing/2014/main" id="{D436A5CE-A1BF-4385-AEE0-45F3959D265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0" name="TextBox 49">
            <a:extLst>
              <a:ext uri="{FF2B5EF4-FFF2-40B4-BE49-F238E27FC236}">
                <a16:creationId xmlns:a16="http://schemas.microsoft.com/office/drawing/2014/main" id="{B8B95A5C-8EA1-C7BA-0E44-0169507EB266}"/>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macro="[0]!OATsensitivity_analysis">
      <xdr:nvPicPr>
        <xdr:cNvPr id="51" name="Picture 50">
          <a:extLst>
            <a:ext uri="{FF2B5EF4-FFF2-40B4-BE49-F238E27FC236}">
              <a16:creationId xmlns:a16="http://schemas.microsoft.com/office/drawing/2014/main" id="{5BEFED3B-8D88-4FCC-B099-51838989BD2F}"/>
            </a:ext>
          </a:extLst>
        </xdr:cNvPr>
        <xdr:cNvPicPr>
          <a:picLocks noChangeAspect="1"/>
        </xdr:cNvPicPr>
      </xdr:nvPicPr>
      <xdr:blipFill>
        <a:blip xmlns:r="http://schemas.openxmlformats.org/officeDocument/2006/relationships" r:embed="rId18"/>
        <a:stretch>
          <a:fillRect/>
        </a:stretch>
      </xdr:blipFill>
      <xdr:spPr>
        <a:xfrm>
          <a:off x="4295775" y="3094672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macro="[0]!scenario_analysis">
      <xdr:nvPicPr>
        <xdr:cNvPr id="52" name="Picture 51">
          <a:extLst>
            <a:ext uri="{FF2B5EF4-FFF2-40B4-BE49-F238E27FC236}">
              <a16:creationId xmlns:a16="http://schemas.microsoft.com/office/drawing/2014/main" id="{B632702B-0092-4953-B416-2CD0DC478EA7}"/>
            </a:ext>
          </a:extLst>
        </xdr:cNvPr>
        <xdr:cNvPicPr>
          <a:picLocks noChangeAspect="1"/>
        </xdr:cNvPicPr>
      </xdr:nvPicPr>
      <xdr:blipFill>
        <a:blip xmlns:r="http://schemas.openxmlformats.org/officeDocument/2006/relationships" r:embed="rId18"/>
        <a:stretch>
          <a:fillRect/>
        </a:stretch>
      </xdr:blipFill>
      <xdr:spPr>
        <a:xfrm>
          <a:off x="6019800" y="32651700"/>
          <a:ext cx="134124" cy="134124"/>
        </a:xfrm>
        <a:prstGeom prst="rect">
          <a:avLst/>
        </a:prstGeom>
      </xdr:spPr>
    </xdr:pic>
    <xdr:clientData/>
  </xdr:twoCellAnchor>
  <xdr:twoCellAnchor>
    <xdr:from>
      <xdr:col>2</xdr:col>
      <xdr:colOff>481965</xdr:colOff>
      <xdr:row>9</xdr:row>
      <xdr:rowOff>30480</xdr:rowOff>
    </xdr:from>
    <xdr:to>
      <xdr:col>3</xdr:col>
      <xdr:colOff>920115</xdr:colOff>
      <xdr:row>16</xdr:row>
      <xdr:rowOff>9525</xdr:rowOff>
    </xdr:to>
    <xdr:sp macro="" textlink="">
      <xdr:nvSpPr>
        <xdr:cNvPr id="68" name="Rectangle: Rounded Corners 67" descr="49ba1274-98d9-4a91-b0d2-3a1a8768a01d">
          <a:extLst>
            <a:ext uri="{FF2B5EF4-FFF2-40B4-BE49-F238E27FC236}">
              <a16:creationId xmlns:a16="http://schemas.microsoft.com/office/drawing/2014/main" id="{6E54F64F-58D3-4172-AF90-8E9AE87329E8}"/>
            </a:ext>
          </a:extLst>
        </xdr:cNvPr>
        <xdr:cNvSpPr/>
      </xdr:nvSpPr>
      <xdr:spPr>
        <a:xfrm>
          <a:off x="5377815" y="3535680"/>
          <a:ext cx="2019300" cy="10172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t> </a:t>
          </a:r>
        </a:p>
      </xdr:txBody>
    </xdr:sp>
    <xdr:clientData/>
  </xdr:twoCellAnchor>
  <xdr:twoCellAnchor>
    <xdr:from>
      <xdr:col>1</xdr:col>
      <xdr:colOff>2074545</xdr:colOff>
      <xdr:row>11</xdr:row>
      <xdr:rowOff>93345</xdr:rowOff>
    </xdr:from>
    <xdr:to>
      <xdr:col>2</xdr:col>
      <xdr:colOff>481965</xdr:colOff>
      <xdr:row>11</xdr:row>
      <xdr:rowOff>93345</xdr:rowOff>
    </xdr:to>
    <xdr:cxnSp macro="">
      <xdr:nvCxnSpPr>
        <xdr:cNvPr id="69" name="Straight Arrow Connector 68" descr="d5d64618-d424-4e5b-a943-e01d69a1fa13">
          <a:extLst>
            <a:ext uri="{FF2B5EF4-FFF2-40B4-BE49-F238E27FC236}">
              <a16:creationId xmlns:a16="http://schemas.microsoft.com/office/drawing/2014/main" id="{0590C92D-E9C7-4158-8460-B9B4C89A7F76}"/>
            </a:ext>
          </a:extLst>
        </xdr:cNvPr>
        <xdr:cNvCxnSpPr/>
      </xdr:nvCxnSpPr>
      <xdr:spPr>
        <a:xfrm>
          <a:off x="4179570" y="3884295"/>
          <a:ext cx="119824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847725</xdr:colOff>
      <xdr:row>8</xdr:row>
      <xdr:rowOff>504825</xdr:rowOff>
    </xdr:from>
    <xdr:to>
      <xdr:col>2</xdr:col>
      <xdr:colOff>95250</xdr:colOff>
      <xdr:row>11</xdr:row>
      <xdr:rowOff>30480</xdr:rowOff>
    </xdr:to>
    <xdr:sp macro="" textlink="">
      <xdr:nvSpPr>
        <xdr:cNvPr id="70" name="Rectangle 69" descr="1345391e-2296-4e03-88ce-f2bd62ecf9fc">
          <a:extLst>
            <a:ext uri="{FF2B5EF4-FFF2-40B4-BE49-F238E27FC236}">
              <a16:creationId xmlns:a16="http://schemas.microsoft.com/office/drawing/2014/main" id="{4D020289-8024-4E59-8AC8-CDCFCA6DCAE0}"/>
            </a:ext>
          </a:extLst>
        </xdr:cNvPr>
        <xdr:cNvSpPr/>
      </xdr:nvSpPr>
      <xdr:spPr>
        <a:xfrm>
          <a:off x="2952750" y="3438525"/>
          <a:ext cx="2038350" cy="382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solidFill>
                <a:schemeClr val="tx1"/>
              </a:solidFill>
            </a:rPr>
            <a:t> Add mass/energy flow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9</xdr:col>
      <xdr:colOff>304165</xdr:colOff>
      <xdr:row>0</xdr:row>
      <xdr:rowOff>1750272</xdr:rowOff>
    </xdr:to>
    <xdr:grpSp>
      <xdr:nvGrpSpPr>
        <xdr:cNvPr id="53" name="Group 52">
          <a:extLst>
            <a:ext uri="{FF2B5EF4-FFF2-40B4-BE49-F238E27FC236}">
              <a16:creationId xmlns:a16="http://schemas.microsoft.com/office/drawing/2014/main" id="{B45A1608-036A-4FE4-B57A-AD0F4BFC9DC5}"/>
            </a:ext>
          </a:extLst>
        </xdr:cNvPr>
        <xdr:cNvGrpSpPr/>
      </xdr:nvGrpSpPr>
      <xdr:grpSpPr>
        <a:xfrm>
          <a:off x="205740" y="76200"/>
          <a:ext cx="16462375" cy="1674072"/>
          <a:chOff x="171450" y="91441"/>
          <a:chExt cx="16462375" cy="1683597"/>
        </a:xfrm>
      </xdr:grpSpPr>
      <xdr:pic>
        <xdr:nvPicPr>
          <xdr:cNvPr id="54" name="Picture 53">
            <a:extLst>
              <a:ext uri="{FF2B5EF4-FFF2-40B4-BE49-F238E27FC236}">
                <a16:creationId xmlns:a16="http://schemas.microsoft.com/office/drawing/2014/main" id="{EB4B848F-6207-45B4-BC5B-9522F33F68E3}"/>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5" name="Group 54">
            <a:extLst>
              <a:ext uri="{FF2B5EF4-FFF2-40B4-BE49-F238E27FC236}">
                <a16:creationId xmlns:a16="http://schemas.microsoft.com/office/drawing/2014/main" id="{21134270-211E-4BAD-80AB-B7E316EEADA4}"/>
              </a:ext>
            </a:extLst>
          </xdr:cNvPr>
          <xdr:cNvGrpSpPr/>
        </xdr:nvGrpSpPr>
        <xdr:grpSpPr>
          <a:xfrm>
            <a:off x="167640" y="95251"/>
            <a:ext cx="16462375" cy="1675977"/>
            <a:chOff x="167640" y="95251"/>
            <a:chExt cx="16462375" cy="1675977"/>
          </a:xfrm>
        </xdr:grpSpPr>
        <xdr:grpSp>
          <xdr:nvGrpSpPr>
            <xdr:cNvPr id="56" name="Group 55">
              <a:extLst>
                <a:ext uri="{FF2B5EF4-FFF2-40B4-BE49-F238E27FC236}">
                  <a16:creationId xmlns:a16="http://schemas.microsoft.com/office/drawing/2014/main" id="{A5D74F65-4CD5-493B-ABF1-D8B722BE3D17}"/>
                </a:ext>
              </a:extLst>
            </xdr:cNvPr>
            <xdr:cNvGrpSpPr/>
          </xdr:nvGrpSpPr>
          <xdr:grpSpPr>
            <a:xfrm>
              <a:off x="171450" y="91441"/>
              <a:ext cx="16462375" cy="1683597"/>
              <a:chOff x="171449" y="38100"/>
              <a:chExt cx="16659225" cy="1704975"/>
            </a:xfrm>
          </xdr:grpSpPr>
          <xdr:grpSp>
            <xdr:nvGrpSpPr>
              <xdr:cNvPr id="58" name="Group 57">
                <a:extLst>
                  <a:ext uri="{FF2B5EF4-FFF2-40B4-BE49-F238E27FC236}">
                    <a16:creationId xmlns:a16="http://schemas.microsoft.com/office/drawing/2014/main" id="{AD2A1B7B-1E73-4FE1-8434-9E63D078D893}"/>
                  </a:ext>
                </a:extLst>
              </xdr:cNvPr>
              <xdr:cNvGrpSpPr/>
            </xdr:nvGrpSpPr>
            <xdr:grpSpPr>
              <a:xfrm>
                <a:off x="171449" y="38100"/>
                <a:ext cx="16659225" cy="1704975"/>
                <a:chOff x="171449" y="38100"/>
                <a:chExt cx="16659225" cy="1704975"/>
              </a:xfrm>
            </xdr:grpSpPr>
            <xdr:pic>
              <xdr:nvPicPr>
                <xdr:cNvPr id="61" name="Picture 60" descr="catalisti.be">
                  <a:extLst>
                    <a:ext uri="{FF2B5EF4-FFF2-40B4-BE49-F238E27FC236}">
                      <a16:creationId xmlns:a16="http://schemas.microsoft.com/office/drawing/2014/main" id="{9E246E58-F264-43BC-BCA0-EFD1F9675A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2" name="Rectangle 61">
                  <a:extLst>
                    <a:ext uri="{FF2B5EF4-FFF2-40B4-BE49-F238E27FC236}">
                      <a16:creationId xmlns:a16="http://schemas.microsoft.com/office/drawing/2014/main" id="{D85DEDAA-E468-49BE-A9D2-418C7CBF90E7}"/>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3" name="Rectangle: Rounded Corners 62">
                  <a:extLst>
                    <a:ext uri="{FF2B5EF4-FFF2-40B4-BE49-F238E27FC236}">
                      <a16:creationId xmlns:a16="http://schemas.microsoft.com/office/drawing/2014/main" id="{85F881BB-451E-4B14-9EFD-87CAF3BD06DB}"/>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4" name="Picture 63">
                  <a:extLst>
                    <a:ext uri="{FF2B5EF4-FFF2-40B4-BE49-F238E27FC236}">
                      <a16:creationId xmlns:a16="http://schemas.microsoft.com/office/drawing/2014/main" id="{00B2F225-1BA8-4B94-A38B-359A12A27E8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5" name="Picture 64">
                  <a:extLst>
                    <a:ext uri="{FF2B5EF4-FFF2-40B4-BE49-F238E27FC236}">
                      <a16:creationId xmlns:a16="http://schemas.microsoft.com/office/drawing/2014/main" id="{41C14D73-9387-4BB2-A5E4-EFA0A86B4F9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6" name="Picture 65">
                  <a:extLst>
                    <a:ext uri="{FF2B5EF4-FFF2-40B4-BE49-F238E27FC236}">
                      <a16:creationId xmlns:a16="http://schemas.microsoft.com/office/drawing/2014/main" id="{25F0EBDA-F006-42A8-800E-29D7B1F673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7" name="Picture 66">
                  <a:extLst>
                    <a:ext uri="{FF2B5EF4-FFF2-40B4-BE49-F238E27FC236}">
                      <a16:creationId xmlns:a16="http://schemas.microsoft.com/office/drawing/2014/main" id="{7A8C0F6B-B294-4A15-84A5-85E450F9109B}"/>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9" name="Picture 58">
                <a:extLst>
                  <a:ext uri="{FF2B5EF4-FFF2-40B4-BE49-F238E27FC236}">
                    <a16:creationId xmlns:a16="http://schemas.microsoft.com/office/drawing/2014/main" id="{31621E71-6617-424A-9169-14DB6053DB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0" name="TextBox 59">
                <a:extLst>
                  <a:ext uri="{FF2B5EF4-FFF2-40B4-BE49-F238E27FC236}">
                    <a16:creationId xmlns:a16="http://schemas.microsoft.com/office/drawing/2014/main" id="{6535717A-9168-411E-9BF3-13FEE6CAE708}"/>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7" name="Picture 56">
              <a:extLst>
                <a:ext uri="{FF2B5EF4-FFF2-40B4-BE49-F238E27FC236}">
                  <a16:creationId xmlns:a16="http://schemas.microsoft.com/office/drawing/2014/main" id="{B3D5767B-6D48-433B-80A7-B42ECA10089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6" name="Group 15">
          <a:extLst>
            <a:ext uri="{FF2B5EF4-FFF2-40B4-BE49-F238E27FC236}">
              <a16:creationId xmlns:a16="http://schemas.microsoft.com/office/drawing/2014/main" id="{3B2C212B-C38A-4363-82AC-3ECE2BAD80B9}"/>
            </a:ext>
          </a:extLst>
        </xdr:cNvPr>
        <xdr:cNvGrpSpPr/>
      </xdr:nvGrpSpPr>
      <xdr:grpSpPr>
        <a:xfrm>
          <a:off x="354330" y="2476500"/>
          <a:ext cx="609600" cy="668655"/>
          <a:chOff x="12801600" y="129540"/>
          <a:chExt cx="609600" cy="685800"/>
        </a:xfrm>
      </xdr:grpSpPr>
      <xdr:pic macro="[0]!Previous_worksheet">
        <xdr:nvPicPr>
          <xdr:cNvPr id="17" name="Picture 16">
            <a:extLst>
              <a:ext uri="{FF2B5EF4-FFF2-40B4-BE49-F238E27FC236}">
                <a16:creationId xmlns:a16="http://schemas.microsoft.com/office/drawing/2014/main" id="{9DC38375-7548-39E5-0EBE-5F27C78B081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8" name="TextBox 17">
            <a:extLst>
              <a:ext uri="{FF2B5EF4-FFF2-40B4-BE49-F238E27FC236}">
                <a16:creationId xmlns:a16="http://schemas.microsoft.com/office/drawing/2014/main" id="{8DD52EBC-B25C-1F96-4CD1-3A40DEFAF95D}"/>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0]!Go_to_ME"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B3CA325C-EB71-4E49-8623-36ADEAD47AC2}"/>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0]!Go_to_Economic"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F9AF5618-4103-40CD-8839-C7CF1C9846CB}"/>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0]!Go_to_Environmental"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28D1CD14-2B75-4942-A8C1-A85204E0147C}"/>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0]!Go_to_summary"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EEB63A40-5361-475A-809B-F691F782D298}"/>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macro="[0]!Pathway">
      <xdr:nvPicPr>
        <xdr:cNvPr id="23" name="Picture 22">
          <a:extLst>
            <a:ext uri="{FF2B5EF4-FFF2-40B4-BE49-F238E27FC236}">
              <a16:creationId xmlns:a16="http://schemas.microsoft.com/office/drawing/2014/main" id="{326DD717-DA5A-4738-B614-2A3E41C9FB6D}"/>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E327FCD4-C429-47EA-8B70-FF2DA723C824}"/>
            </a:ext>
          </a:extLst>
        </xdr:cNvPr>
        <xdr:cNvSpPr/>
      </xdr:nvSpPr>
      <xdr:spPr>
        <a:xfrm>
          <a:off x="62960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64E5D32C-C287-4272-8958-9CCC35A93864}"/>
            </a:ext>
          </a:extLst>
        </xdr:cNvPr>
        <xdr:cNvSpPr/>
      </xdr:nvSpPr>
      <xdr:spPr>
        <a:xfrm>
          <a:off x="84677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91C1F4FE-EB77-4CB7-A0C3-A73219161C2B}"/>
            </a:ext>
          </a:extLst>
        </xdr:cNvPr>
        <xdr:cNvSpPr/>
      </xdr:nvSpPr>
      <xdr:spPr>
        <a:xfrm>
          <a:off x="106299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macro="[0]!Pathway_PFD">
      <xdr:nvPicPr>
        <xdr:cNvPr id="27" name="Picture 26">
          <a:extLst>
            <a:ext uri="{FF2B5EF4-FFF2-40B4-BE49-F238E27FC236}">
              <a16:creationId xmlns:a16="http://schemas.microsoft.com/office/drawing/2014/main" id="{0868FE54-AF02-4C5D-88D9-222282C530B6}"/>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macro="[0]!Pathway_ME">
      <xdr:nvPicPr>
        <xdr:cNvPr id="28" name="Picture 27">
          <a:extLst>
            <a:ext uri="{FF2B5EF4-FFF2-40B4-BE49-F238E27FC236}">
              <a16:creationId xmlns:a16="http://schemas.microsoft.com/office/drawing/2014/main" id="{902AA464-D620-4AFB-8983-CEAAEB623FE4}"/>
            </a:ext>
          </a:extLst>
        </xdr:cNvPr>
        <xdr:cNvPicPr>
          <a:picLocks noChangeAspect="1"/>
        </xdr:cNvPicPr>
      </xdr:nvPicPr>
      <xdr:blipFill>
        <a:blip xmlns:r="http://schemas.openxmlformats.org/officeDocument/2006/relationships" r:embed="rId14"/>
        <a:stretch>
          <a:fillRect/>
        </a:stretch>
      </xdr:blipFill>
      <xdr:spPr>
        <a:xfrm>
          <a:off x="2743200" y="6457950"/>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macro="[0]!Pathway_Economic">
      <xdr:nvPicPr>
        <xdr:cNvPr id="29" name="Picture 28">
          <a:extLst>
            <a:ext uri="{FF2B5EF4-FFF2-40B4-BE49-F238E27FC236}">
              <a16:creationId xmlns:a16="http://schemas.microsoft.com/office/drawing/2014/main" id="{9EC15827-4C81-4DF7-B9B1-C2F0980FEBED}"/>
            </a:ext>
          </a:extLst>
        </xdr:cNvPr>
        <xdr:cNvPicPr>
          <a:picLocks noChangeAspect="1"/>
        </xdr:cNvPicPr>
      </xdr:nvPicPr>
      <xdr:blipFill>
        <a:blip xmlns:r="http://schemas.openxmlformats.org/officeDocument/2006/relationships" r:embed="rId14"/>
        <a:stretch>
          <a:fillRect/>
        </a:stretch>
      </xdr:blipFill>
      <xdr:spPr>
        <a:xfrm>
          <a:off x="2733675" y="133254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macro="[0]!Pathway_Environment">
      <xdr:nvPicPr>
        <xdr:cNvPr id="30" name="Picture 29">
          <a:extLst>
            <a:ext uri="{FF2B5EF4-FFF2-40B4-BE49-F238E27FC236}">
              <a16:creationId xmlns:a16="http://schemas.microsoft.com/office/drawing/2014/main" id="{0EDAD481-AF0E-4F23-B900-B1014F0E2E06}"/>
            </a:ext>
          </a:extLst>
        </xdr:cNvPr>
        <xdr:cNvPicPr>
          <a:picLocks noChangeAspect="1"/>
        </xdr:cNvPicPr>
      </xdr:nvPicPr>
      <xdr:blipFill>
        <a:blip xmlns:r="http://schemas.openxmlformats.org/officeDocument/2006/relationships" r:embed="rId14"/>
        <a:stretch>
          <a:fillRect/>
        </a:stretch>
      </xdr:blipFill>
      <xdr:spPr>
        <a:xfrm>
          <a:off x="3038475" y="22898100"/>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1" name="Group 30">
          <a:extLst>
            <a:ext uri="{FF2B5EF4-FFF2-40B4-BE49-F238E27FC236}">
              <a16:creationId xmlns:a16="http://schemas.microsoft.com/office/drawing/2014/main" id="{3F3BC648-04E3-4B1D-9B3B-679DFF4042B1}"/>
            </a:ext>
          </a:extLst>
        </xdr:cNvPr>
        <xdr:cNvGrpSpPr/>
      </xdr:nvGrpSpPr>
      <xdr:grpSpPr>
        <a:xfrm>
          <a:off x="506730" y="10203180"/>
          <a:ext cx="904875" cy="723900"/>
          <a:chOff x="12771120" y="8145780"/>
          <a:chExt cx="906780" cy="739140"/>
        </a:xfrm>
      </xdr:grpSpPr>
      <xdr:pic macro="[0]!Top_of_page">
        <xdr:nvPicPr>
          <xdr:cNvPr id="32" name="Picture 31">
            <a:extLst>
              <a:ext uri="{FF2B5EF4-FFF2-40B4-BE49-F238E27FC236}">
                <a16:creationId xmlns:a16="http://schemas.microsoft.com/office/drawing/2014/main" id="{C177BBFC-AB7A-B86C-F0C2-D0232C7EC79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3" name="TextBox 32">
            <a:extLst>
              <a:ext uri="{FF2B5EF4-FFF2-40B4-BE49-F238E27FC236}">
                <a16:creationId xmlns:a16="http://schemas.microsoft.com/office/drawing/2014/main" id="{A0AF87D6-C7A4-8248-9D58-BFAC2BCDD6D6}"/>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4" name="Group 33">
          <a:extLst>
            <a:ext uri="{FF2B5EF4-FFF2-40B4-BE49-F238E27FC236}">
              <a16:creationId xmlns:a16="http://schemas.microsoft.com/office/drawing/2014/main" id="{598DBF6E-622B-4D8D-8838-9D76305C2D66}"/>
            </a:ext>
          </a:extLst>
        </xdr:cNvPr>
        <xdr:cNvGrpSpPr/>
      </xdr:nvGrpSpPr>
      <xdr:grpSpPr>
        <a:xfrm>
          <a:off x="544830" y="21219795"/>
          <a:ext cx="904875" cy="733425"/>
          <a:chOff x="12771120" y="8145780"/>
          <a:chExt cx="906780" cy="739140"/>
        </a:xfrm>
      </xdr:grpSpPr>
      <xdr:pic macro="[0]!Top_of_page">
        <xdr:nvPicPr>
          <xdr:cNvPr id="35" name="Picture 34">
            <a:extLst>
              <a:ext uri="{FF2B5EF4-FFF2-40B4-BE49-F238E27FC236}">
                <a16:creationId xmlns:a16="http://schemas.microsoft.com/office/drawing/2014/main" id="{B2BE8589-FAC5-191D-105E-174B4F31A23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C909388C-13AC-06DA-6FDC-EF1ED7B9638E}"/>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37" name="Group 36">
          <a:extLst>
            <a:ext uri="{FF2B5EF4-FFF2-40B4-BE49-F238E27FC236}">
              <a16:creationId xmlns:a16="http://schemas.microsoft.com/office/drawing/2014/main" id="{1D0C715A-FDC0-4558-A7DF-425C06789BDD}"/>
            </a:ext>
          </a:extLst>
        </xdr:cNvPr>
        <xdr:cNvGrpSpPr/>
      </xdr:nvGrpSpPr>
      <xdr:grpSpPr>
        <a:xfrm>
          <a:off x="506730" y="28342590"/>
          <a:ext cx="904875" cy="735330"/>
          <a:chOff x="12771120" y="8145780"/>
          <a:chExt cx="906780" cy="739140"/>
        </a:xfrm>
      </xdr:grpSpPr>
      <xdr:pic macro="[0]!Top_of_page">
        <xdr:nvPicPr>
          <xdr:cNvPr id="38" name="Picture 37">
            <a:extLst>
              <a:ext uri="{FF2B5EF4-FFF2-40B4-BE49-F238E27FC236}">
                <a16:creationId xmlns:a16="http://schemas.microsoft.com/office/drawing/2014/main" id="{65C304CE-10EC-5378-9AB3-89866AD315E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B003AB88-D971-93F9-8E8A-B397B39EF337}"/>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macro="[0]!Contribution_analysis">
      <xdr:nvPicPr>
        <xdr:cNvPr id="40" name="Picture 39">
          <a:extLst>
            <a:ext uri="{FF2B5EF4-FFF2-40B4-BE49-F238E27FC236}">
              <a16:creationId xmlns:a16="http://schemas.microsoft.com/office/drawing/2014/main" id="{CC0A2064-6B74-4999-85B2-45CA312F775F}"/>
            </a:ext>
          </a:extLst>
        </xdr:cNvPr>
        <xdr:cNvPicPr>
          <a:picLocks noChangeAspect="1"/>
        </xdr:cNvPicPr>
      </xdr:nvPicPr>
      <xdr:blipFill>
        <a:blip xmlns:r="http://schemas.openxmlformats.org/officeDocument/2006/relationships" r:embed="rId18"/>
        <a:stretch>
          <a:fillRect/>
        </a:stretch>
      </xdr:blipFill>
      <xdr:spPr>
        <a:xfrm>
          <a:off x="3505200" y="2937510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41" name="Rectangle: Rounded Corners 40" descr="ee03ab9c-5e7c-4328-9db4-0c69115286c9">
          <a:hlinkClick xmlns:r="http://schemas.openxmlformats.org/officeDocument/2006/relationships" r:id="rId19"/>
          <a:extLst>
            <a:ext uri="{FF2B5EF4-FFF2-40B4-BE49-F238E27FC236}">
              <a16:creationId xmlns:a16="http://schemas.microsoft.com/office/drawing/2014/main" id="{A567F05C-9A43-4E67-B170-4D9B9899A084}"/>
            </a:ext>
          </a:extLst>
        </xdr:cNvPr>
        <xdr:cNvSpPr/>
      </xdr:nvSpPr>
      <xdr:spPr>
        <a:xfrm>
          <a:off x="127825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42" name="Group 41">
          <a:extLst>
            <a:ext uri="{FF2B5EF4-FFF2-40B4-BE49-F238E27FC236}">
              <a16:creationId xmlns:a16="http://schemas.microsoft.com/office/drawing/2014/main" id="{77EE0903-1A3A-4FB4-AF7A-D458318D4464}"/>
            </a:ext>
          </a:extLst>
        </xdr:cNvPr>
        <xdr:cNvGrpSpPr/>
      </xdr:nvGrpSpPr>
      <xdr:grpSpPr>
        <a:xfrm>
          <a:off x="929640" y="2491740"/>
          <a:ext cx="609600" cy="653415"/>
          <a:chOff x="13464540" y="68580"/>
          <a:chExt cx="609600" cy="662940"/>
        </a:xfrm>
      </xdr:grpSpPr>
      <xdr:pic macro="[0]!Next_worksheet">
        <xdr:nvPicPr>
          <xdr:cNvPr id="43" name="Picture 42">
            <a:extLst>
              <a:ext uri="{FF2B5EF4-FFF2-40B4-BE49-F238E27FC236}">
                <a16:creationId xmlns:a16="http://schemas.microsoft.com/office/drawing/2014/main" id="{EC1DE0ED-7475-2D91-7A46-695EC08E762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4" name="TextBox 43">
            <a:extLst>
              <a:ext uri="{FF2B5EF4-FFF2-40B4-BE49-F238E27FC236}">
                <a16:creationId xmlns:a16="http://schemas.microsoft.com/office/drawing/2014/main" id="{700B59F9-6E8B-BED2-C3A5-788EF39001BE}"/>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5" name="Group 44">
          <a:extLst>
            <a:ext uri="{FF2B5EF4-FFF2-40B4-BE49-F238E27FC236}">
              <a16:creationId xmlns:a16="http://schemas.microsoft.com/office/drawing/2014/main" id="{6832BFA7-ED22-4B5A-880A-9A378123C369}"/>
            </a:ext>
          </a:extLst>
        </xdr:cNvPr>
        <xdr:cNvGrpSpPr/>
      </xdr:nvGrpSpPr>
      <xdr:grpSpPr>
        <a:xfrm>
          <a:off x="548640" y="30499050"/>
          <a:ext cx="914400" cy="733425"/>
          <a:chOff x="12771120" y="8145780"/>
          <a:chExt cx="906780" cy="739140"/>
        </a:xfrm>
      </xdr:grpSpPr>
      <xdr:pic macro="[0]!Top_of_page">
        <xdr:nvPicPr>
          <xdr:cNvPr id="46" name="Picture 45">
            <a:extLst>
              <a:ext uri="{FF2B5EF4-FFF2-40B4-BE49-F238E27FC236}">
                <a16:creationId xmlns:a16="http://schemas.microsoft.com/office/drawing/2014/main" id="{299748E1-9B07-55D3-0115-DAC5DA68407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7" name="TextBox 46">
            <a:extLst>
              <a:ext uri="{FF2B5EF4-FFF2-40B4-BE49-F238E27FC236}">
                <a16:creationId xmlns:a16="http://schemas.microsoft.com/office/drawing/2014/main" id="{9CADD17F-910B-27CC-6844-8C4C6BB4687F}"/>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8" name="Group 47">
          <a:extLst>
            <a:ext uri="{FF2B5EF4-FFF2-40B4-BE49-F238E27FC236}">
              <a16:creationId xmlns:a16="http://schemas.microsoft.com/office/drawing/2014/main" id="{776C9EC4-6C5F-468F-A2BB-5FD50F30B762}"/>
            </a:ext>
          </a:extLst>
        </xdr:cNvPr>
        <xdr:cNvGrpSpPr/>
      </xdr:nvGrpSpPr>
      <xdr:grpSpPr>
        <a:xfrm>
          <a:off x="548640" y="32158305"/>
          <a:ext cx="914400" cy="723900"/>
          <a:chOff x="12771120" y="8145780"/>
          <a:chExt cx="906780" cy="739140"/>
        </a:xfrm>
      </xdr:grpSpPr>
      <xdr:pic macro="[0]!Top_of_page">
        <xdr:nvPicPr>
          <xdr:cNvPr id="49" name="Picture 48">
            <a:extLst>
              <a:ext uri="{FF2B5EF4-FFF2-40B4-BE49-F238E27FC236}">
                <a16:creationId xmlns:a16="http://schemas.microsoft.com/office/drawing/2014/main" id="{D9A4A525-8DEE-E95F-9362-CD387A84425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0" name="TextBox 49">
            <a:extLst>
              <a:ext uri="{FF2B5EF4-FFF2-40B4-BE49-F238E27FC236}">
                <a16:creationId xmlns:a16="http://schemas.microsoft.com/office/drawing/2014/main" id="{C23E4CCA-7DA0-5354-7A1A-914A24B4AAD9}"/>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macro="[0]!OATsensitivity_analysis">
      <xdr:nvPicPr>
        <xdr:cNvPr id="51" name="Picture 50">
          <a:extLst>
            <a:ext uri="{FF2B5EF4-FFF2-40B4-BE49-F238E27FC236}">
              <a16:creationId xmlns:a16="http://schemas.microsoft.com/office/drawing/2014/main" id="{ED3715BD-4A31-4C37-879D-40E03B9A9BEA}"/>
            </a:ext>
          </a:extLst>
        </xdr:cNvPr>
        <xdr:cNvPicPr>
          <a:picLocks noChangeAspect="1"/>
        </xdr:cNvPicPr>
      </xdr:nvPicPr>
      <xdr:blipFill>
        <a:blip xmlns:r="http://schemas.openxmlformats.org/officeDocument/2006/relationships" r:embed="rId18"/>
        <a:stretch>
          <a:fillRect/>
        </a:stretch>
      </xdr:blipFill>
      <xdr:spPr>
        <a:xfrm>
          <a:off x="4295775" y="3094672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macro="[0]!scenario_analysis">
      <xdr:nvPicPr>
        <xdr:cNvPr id="52" name="Picture 51">
          <a:extLst>
            <a:ext uri="{FF2B5EF4-FFF2-40B4-BE49-F238E27FC236}">
              <a16:creationId xmlns:a16="http://schemas.microsoft.com/office/drawing/2014/main" id="{4AD82B70-8B95-48B1-AF05-B363C7E1EBAE}"/>
            </a:ext>
          </a:extLst>
        </xdr:cNvPr>
        <xdr:cNvPicPr>
          <a:picLocks noChangeAspect="1"/>
        </xdr:cNvPicPr>
      </xdr:nvPicPr>
      <xdr:blipFill>
        <a:blip xmlns:r="http://schemas.openxmlformats.org/officeDocument/2006/relationships" r:embed="rId18"/>
        <a:stretch>
          <a:fillRect/>
        </a:stretch>
      </xdr:blipFill>
      <xdr:spPr>
        <a:xfrm>
          <a:off x="6019800" y="32651700"/>
          <a:ext cx="134124" cy="134124"/>
        </a:xfrm>
        <a:prstGeom prst="rect">
          <a:avLst/>
        </a:prstGeom>
      </xdr:spPr>
    </xdr:pic>
    <xdr:clientData/>
  </xdr:twoCellAnchor>
  <xdr:twoCellAnchor>
    <xdr:from>
      <xdr:col>2</xdr:col>
      <xdr:colOff>741045</xdr:colOff>
      <xdr:row>9</xdr:row>
      <xdr:rowOff>135255</xdr:rowOff>
    </xdr:from>
    <xdr:to>
      <xdr:col>3</xdr:col>
      <xdr:colOff>1190625</xdr:colOff>
      <xdr:row>16</xdr:row>
      <xdr:rowOff>114300</xdr:rowOff>
    </xdr:to>
    <xdr:sp macro="" textlink="">
      <xdr:nvSpPr>
        <xdr:cNvPr id="68" name="Rectangle: Rounded Corners 67" descr="49ba1274-98d9-4a91-b0d2-3a1a8768a01d">
          <a:extLst>
            <a:ext uri="{FF2B5EF4-FFF2-40B4-BE49-F238E27FC236}">
              <a16:creationId xmlns:a16="http://schemas.microsoft.com/office/drawing/2014/main" id="{8F2718D7-0856-4E20-B3EA-36FE857E977F}"/>
            </a:ext>
          </a:extLst>
        </xdr:cNvPr>
        <xdr:cNvSpPr/>
      </xdr:nvSpPr>
      <xdr:spPr>
        <a:xfrm>
          <a:off x="5636895" y="3640455"/>
          <a:ext cx="2030730" cy="10172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t> </a:t>
          </a:r>
        </a:p>
      </xdr:txBody>
    </xdr:sp>
    <xdr:clientData/>
  </xdr:twoCellAnchor>
  <xdr:twoCellAnchor>
    <xdr:from>
      <xdr:col>1</xdr:col>
      <xdr:colOff>2341245</xdr:colOff>
      <xdr:row>12</xdr:row>
      <xdr:rowOff>57150</xdr:rowOff>
    </xdr:from>
    <xdr:to>
      <xdr:col>2</xdr:col>
      <xdr:colOff>750570</xdr:colOff>
      <xdr:row>12</xdr:row>
      <xdr:rowOff>57150</xdr:rowOff>
    </xdr:to>
    <xdr:cxnSp macro="">
      <xdr:nvCxnSpPr>
        <xdr:cNvPr id="69" name="Straight Arrow Connector 68" descr="d5d64618-d424-4e5b-a943-e01d69a1fa13">
          <a:extLst>
            <a:ext uri="{FF2B5EF4-FFF2-40B4-BE49-F238E27FC236}">
              <a16:creationId xmlns:a16="http://schemas.microsoft.com/office/drawing/2014/main" id="{16C13918-51E2-4576-88FD-2D26C758D144}"/>
            </a:ext>
          </a:extLst>
        </xdr:cNvPr>
        <xdr:cNvCxnSpPr/>
      </xdr:nvCxnSpPr>
      <xdr:spPr>
        <a:xfrm>
          <a:off x="4446270" y="399097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1114425</xdr:colOff>
      <xdr:row>9</xdr:row>
      <xdr:rowOff>38100</xdr:rowOff>
    </xdr:from>
    <xdr:to>
      <xdr:col>2</xdr:col>
      <xdr:colOff>361950</xdr:colOff>
      <xdr:row>11</xdr:row>
      <xdr:rowOff>131445</xdr:rowOff>
    </xdr:to>
    <xdr:sp macro="" textlink="">
      <xdr:nvSpPr>
        <xdr:cNvPr id="70" name="Rectangle 69" descr="1345391e-2296-4e03-88ce-f2bd62ecf9fc">
          <a:extLst>
            <a:ext uri="{FF2B5EF4-FFF2-40B4-BE49-F238E27FC236}">
              <a16:creationId xmlns:a16="http://schemas.microsoft.com/office/drawing/2014/main" id="{A0A0A965-6D8C-4770-A3AA-6E034106F6BB}"/>
            </a:ext>
          </a:extLst>
        </xdr:cNvPr>
        <xdr:cNvSpPr/>
      </xdr:nvSpPr>
      <xdr:spPr>
        <a:xfrm>
          <a:off x="3219450" y="3543300"/>
          <a:ext cx="2038350" cy="379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solidFill>
                <a:schemeClr val="tx1"/>
              </a:solidFill>
            </a:rPr>
            <a:t> Add mass/energy flow</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476250</xdr:colOff>
      <xdr:row>59</xdr:row>
      <xdr:rowOff>1</xdr:rowOff>
    </xdr:from>
    <xdr:to>
      <xdr:col>5</xdr:col>
      <xdr:colOff>50244</xdr:colOff>
      <xdr:row>72</xdr:row>
      <xdr:rowOff>56675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76250" y="11277601"/>
          <a:ext cx="3580209" cy="2540794"/>
        </a:xfrm>
        <a:prstGeom prst="rect">
          <a:avLst/>
        </a:prstGeom>
      </xdr:spPr>
    </xdr:pic>
    <xdr:clientData/>
  </xdr:twoCellAnchor>
  <xdr:twoCellAnchor editAs="oneCell">
    <xdr:from>
      <xdr:col>10</xdr:col>
      <xdr:colOff>405765</xdr:colOff>
      <xdr:row>4</xdr:row>
      <xdr:rowOff>42227</xdr:rowOff>
    </xdr:from>
    <xdr:to>
      <xdr:col>22</xdr:col>
      <xdr:colOff>517598</xdr:colOff>
      <xdr:row>33</xdr:row>
      <xdr:rowOff>62865</xdr:rowOff>
    </xdr:to>
    <xdr:pic>
      <xdr:nvPicPr>
        <xdr:cNvPr id="5" name="Picture 4" descr="Raw Materials Information System">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3865" y="804227"/>
          <a:ext cx="7703258" cy="558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resources.deloitte.com/personal/oloveniers_deloitte_com/Documents/Projecten/VITO/FinalVersion_Sustainability%20framework%20MOT_LoveniersOlivi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shboard results"/>
      <sheetName val="Project"/>
      <sheetName val="Technology"/>
      <sheetName val="Market "/>
      <sheetName val="Pathway definition and results"/>
      <sheetName val="Data - technical"/>
      <sheetName val="Data - economic"/>
      <sheetName val="Data - environmental"/>
      <sheetName val="Data - general"/>
      <sheetName val="1. Pathway 1"/>
      <sheetName val="2. Pathway 2"/>
      <sheetName val="3. Pathway 3"/>
      <sheetName val="4. Pathway 4"/>
      <sheetName val="Dropdown list"/>
      <sheetName val="FinalVersion_Sustainability fr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1C27D-3465-4628-A460-8DBE7D468B64}" name="Table_solvent" displayName="Table_solvent" ref="B5:E58" totalsRowShown="0">
  <autoFilter ref="B5:E58" xr:uid="{4412D00F-D179-46CC-814C-DD3503F57421}"/>
  <sortState xmlns:xlrd2="http://schemas.microsoft.com/office/spreadsheetml/2017/richdata2" ref="B6:B55">
    <sortCondition ref="B54"/>
  </sortState>
  <tableColumns count="4">
    <tableColumn id="1" xr3:uid="{9AE48984-D28C-4C56-A6E6-CD40B05CB2CF}" name="Solvents"/>
    <tableColumn id="2" xr3:uid="{EFA4B026-F1EE-4974-B34E-6898376AC9D6}" name="Status "/>
    <tableColumn id="3" xr3:uid="{7AFD86E9-7DE8-49EA-9994-66D2AAB79D6B}" name="€/ton"/>
    <tableColumn id="4" xr3:uid="{C9568AFD-A3BC-4C94-9B12-EC877702D74D}" name="kg CO2eq/k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E724A2D-D686-4983-949F-6A3A70F34E13}" name="Table_elements" displayName="Table_elements" ref="H5:J52" totalsRowShown="0">
  <autoFilter ref="H5:J52" xr:uid="{764A2CE1-231D-43B1-8C83-22F0F481CF46}"/>
  <sortState xmlns:xlrd2="http://schemas.microsoft.com/office/spreadsheetml/2017/richdata2" ref="H6:J52">
    <sortCondition ref="H6"/>
  </sortState>
  <tableColumns count="3">
    <tableColumn id="1" xr3:uid="{9CF83F00-8B50-4F06-8DC8-6F3A128B8FC3}" name="Critical Raw Materials included in catalysts"/>
    <tableColumn id="2" xr3:uid="{DAFD2827-B03B-4E54-A54B-15AF0E3FF6B7}" name="Status"/>
    <tableColumn id="3" xr3:uid="{9D4339FA-778B-4C09-83FA-10E4CA30F642}" name="€/t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4.bin"/><Relationship Id="rId6" Type="http://schemas.openxmlformats.org/officeDocument/2006/relationships/comments" Target="../comments9.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CD54-6D47-4BB2-9190-608E65427BDC}">
  <sheetPr codeName="Sheet1"/>
  <dimension ref="B1:X52"/>
  <sheetViews>
    <sheetView tabSelected="1" zoomScaleNormal="100" workbookViewId="0">
      <pane xSplit="1" topLeftCell="B1" activePane="topRight" state="frozen"/>
      <selection pane="topRight" activeCell="A17" sqref="A17"/>
    </sheetView>
  </sheetViews>
  <sheetFormatPr defaultColWidth="9.33203125" defaultRowHeight="11.4" x14ac:dyDescent="0.2"/>
  <cols>
    <col min="1" max="1" width="30.6640625" style="1" customWidth="1"/>
    <col min="2" max="2" width="30.33203125" style="1" customWidth="1"/>
    <col min="3" max="3" width="86.5546875" style="1" customWidth="1"/>
    <col min="4" max="9" width="9.33203125" style="1"/>
    <col min="10" max="10" width="5.33203125" style="1" customWidth="1"/>
    <col min="11" max="11" width="1.44140625" style="1" customWidth="1"/>
    <col min="12" max="16384" width="9.33203125" style="1"/>
  </cols>
  <sheetData>
    <row r="1" spans="2:24" ht="144" customHeight="1" x14ac:dyDescent="0.2"/>
    <row r="5" spans="2:24" ht="19.8" x14ac:dyDescent="0.3">
      <c r="B5" s="3" t="s">
        <v>0</v>
      </c>
    </row>
    <row r="6" spans="2:24" ht="19.8" x14ac:dyDescent="0.3">
      <c r="B6" s="3"/>
    </row>
    <row r="7" spans="2:24" x14ac:dyDescent="0.2">
      <c r="B7" s="6" t="s">
        <v>1</v>
      </c>
    </row>
    <row r="8" spans="2:24" ht="191.25" customHeight="1" x14ac:dyDescent="0.3">
      <c r="B8" s="397" t="s">
        <v>2</v>
      </c>
      <c r="C8" s="396"/>
      <c r="D8" s="396"/>
      <c r="E8" s="396"/>
      <c r="F8" s="396"/>
      <c r="G8" s="396"/>
      <c r="H8" s="396"/>
      <c r="I8" s="396"/>
      <c r="J8" s="396"/>
      <c r="K8" s="396"/>
      <c r="L8" s="12"/>
      <c r="M8" s="12"/>
      <c r="N8"/>
      <c r="O8" s="12"/>
      <c r="P8" s="12"/>
      <c r="Q8" s="12"/>
      <c r="R8" s="12"/>
      <c r="S8" s="12"/>
      <c r="T8" s="12"/>
      <c r="U8" s="12"/>
      <c r="V8" s="12"/>
      <c r="W8" s="12"/>
      <c r="X8" s="12"/>
    </row>
    <row r="10" spans="2:24" x14ac:dyDescent="0.2">
      <c r="B10" s="6" t="s">
        <v>3</v>
      </c>
    </row>
    <row r="11" spans="2:24" ht="24" customHeight="1" x14ac:dyDescent="0.2">
      <c r="B11" s="396" t="s">
        <v>4</v>
      </c>
      <c r="C11" s="396"/>
      <c r="D11" s="396"/>
      <c r="E11" s="396"/>
      <c r="F11" s="396"/>
      <c r="G11" s="396"/>
      <c r="H11" s="396"/>
      <c r="I11" s="396"/>
      <c r="J11" s="396"/>
      <c r="K11" s="396"/>
      <c r="L11" s="396"/>
      <c r="M11" s="396"/>
      <c r="N11" s="396"/>
      <c r="O11" s="396"/>
      <c r="P11" s="396"/>
      <c r="Q11" s="396"/>
      <c r="R11" s="396"/>
      <c r="S11" s="396"/>
      <c r="T11" s="396"/>
      <c r="U11" s="396"/>
      <c r="V11" s="396"/>
      <c r="W11" s="396"/>
      <c r="X11" s="396"/>
    </row>
    <row r="13" spans="2:24" x14ac:dyDescent="0.2">
      <c r="B13" s="6" t="s">
        <v>5</v>
      </c>
    </row>
    <row r="14" spans="2:24" x14ac:dyDescent="0.2">
      <c r="B14" s="1" t="s">
        <v>6</v>
      </c>
    </row>
    <row r="15" spans="2:24" x14ac:dyDescent="0.2">
      <c r="B15" s="51" t="s">
        <v>7</v>
      </c>
    </row>
    <row r="16" spans="2:24" x14ac:dyDescent="0.2">
      <c r="B16" s="51" t="s">
        <v>8</v>
      </c>
    </row>
    <row r="18" spans="2:4" ht="19.8" x14ac:dyDescent="0.3">
      <c r="B18" s="3" t="s">
        <v>9</v>
      </c>
    </row>
    <row r="20" spans="2:4" x14ac:dyDescent="0.2">
      <c r="B20" s="6" t="s">
        <v>10</v>
      </c>
    </row>
    <row r="21" spans="2:4" x14ac:dyDescent="0.2">
      <c r="B21" s="13" t="s">
        <v>11</v>
      </c>
      <c r="C21" s="13" t="s">
        <v>12</v>
      </c>
      <c r="D21" s="53" t="s">
        <v>13</v>
      </c>
    </row>
    <row r="22" spans="2:4" ht="27.75" customHeight="1" x14ac:dyDescent="0.2">
      <c r="B22" s="60" t="s">
        <v>14</v>
      </c>
      <c r="C22" s="58" t="s">
        <v>15</v>
      </c>
      <c r="D22" s="106"/>
    </row>
    <row r="23" spans="2:4" ht="22.2" customHeight="1" x14ac:dyDescent="0.2">
      <c r="B23" s="60" t="s">
        <v>16</v>
      </c>
      <c r="C23" s="58" t="s">
        <v>17</v>
      </c>
      <c r="D23" s="106"/>
    </row>
    <row r="24" spans="2:4" ht="22.2" customHeight="1" x14ac:dyDescent="0.2">
      <c r="B24" s="60" t="s">
        <v>18</v>
      </c>
      <c r="C24" s="58" t="s">
        <v>19</v>
      </c>
      <c r="D24" s="106" t="s">
        <v>20</v>
      </c>
    </row>
    <row r="25" spans="2:4" ht="29.25" customHeight="1" x14ac:dyDescent="0.2">
      <c r="B25" s="60" t="s">
        <v>21</v>
      </c>
      <c r="C25" s="58" t="s">
        <v>22</v>
      </c>
      <c r="D25" s="106" t="s">
        <v>23</v>
      </c>
    </row>
    <row r="26" spans="2:4" ht="27" customHeight="1" x14ac:dyDescent="0.2">
      <c r="B26" s="60" t="s">
        <v>24</v>
      </c>
      <c r="C26" s="58" t="s">
        <v>25</v>
      </c>
      <c r="D26" s="106" t="s">
        <v>26</v>
      </c>
    </row>
    <row r="27" spans="2:4" ht="57" customHeight="1" x14ac:dyDescent="0.2">
      <c r="B27" s="60" t="s">
        <v>27</v>
      </c>
      <c r="C27" s="58" t="s">
        <v>28</v>
      </c>
      <c r="D27" s="106" t="s">
        <v>29</v>
      </c>
    </row>
    <row r="28" spans="2:4" ht="27" customHeight="1" x14ac:dyDescent="0.2">
      <c r="B28" s="60" t="s">
        <v>30</v>
      </c>
      <c r="C28" s="58" t="s">
        <v>31</v>
      </c>
      <c r="D28" s="106" t="s">
        <v>32</v>
      </c>
    </row>
    <row r="29" spans="2:4" ht="31.5" customHeight="1" x14ac:dyDescent="0.2">
      <c r="B29" s="60" t="s">
        <v>33</v>
      </c>
      <c r="C29" s="58" t="s">
        <v>34</v>
      </c>
      <c r="D29" s="106" t="s">
        <v>35</v>
      </c>
    </row>
    <row r="30" spans="2:4" ht="35.25" customHeight="1" x14ac:dyDescent="0.2">
      <c r="B30" s="60" t="s">
        <v>36</v>
      </c>
      <c r="C30" s="58" t="s">
        <v>37</v>
      </c>
      <c r="D30" s="143" t="s">
        <v>38</v>
      </c>
    </row>
    <row r="31" spans="2:4" ht="27" customHeight="1" x14ac:dyDescent="0.2">
      <c r="B31" s="60" t="s">
        <v>39</v>
      </c>
      <c r="C31" s="58" t="s">
        <v>40</v>
      </c>
      <c r="D31" s="106" t="s">
        <v>41</v>
      </c>
    </row>
    <row r="32" spans="2:4" ht="47.25" customHeight="1" x14ac:dyDescent="0.2">
      <c r="B32" s="60" t="s">
        <v>42</v>
      </c>
      <c r="C32" s="58" t="s">
        <v>43</v>
      </c>
      <c r="D32" s="106" t="s">
        <v>44</v>
      </c>
    </row>
    <row r="33" spans="2:12" x14ac:dyDescent="0.2">
      <c r="D33" s="61"/>
    </row>
    <row r="34" spans="2:12" x14ac:dyDescent="0.2">
      <c r="B34" s="6" t="s">
        <v>45</v>
      </c>
    </row>
    <row r="36" spans="2:12" x14ac:dyDescent="0.2">
      <c r="B36" s="14"/>
      <c r="C36" s="1" t="s">
        <v>46</v>
      </c>
    </row>
    <row r="37" spans="2:12" x14ac:dyDescent="0.2">
      <c r="B37" s="9"/>
      <c r="C37" s="1" t="s">
        <v>47</v>
      </c>
    </row>
    <row r="38" spans="2:12" x14ac:dyDescent="0.2">
      <c r="B38" s="52"/>
      <c r="C38" s="1" t="s">
        <v>48</v>
      </c>
    </row>
    <row r="40" spans="2:12" x14ac:dyDescent="0.2">
      <c r="B40" s="154" t="s">
        <v>49</v>
      </c>
      <c r="C40" s="1" t="s">
        <v>50</v>
      </c>
    </row>
    <row r="41" spans="2:12" x14ac:dyDescent="0.2">
      <c r="B41" s="9" t="s">
        <v>49</v>
      </c>
      <c r="C41" s="1" t="s">
        <v>51</v>
      </c>
    </row>
    <row r="42" spans="2:12" ht="14.4" x14ac:dyDescent="0.3">
      <c r="B42" s="1" t="s">
        <v>49</v>
      </c>
      <c r="C42" s="1" t="s">
        <v>52</v>
      </c>
      <c r="F42"/>
    </row>
    <row r="43" spans="2:12" ht="14.4" x14ac:dyDescent="0.3">
      <c r="B43" s="161"/>
      <c r="C43" s="1" t="s">
        <v>53</v>
      </c>
      <c r="F43"/>
    </row>
    <row r="44" spans="2:12" ht="14.4" x14ac:dyDescent="0.3">
      <c r="F44"/>
    </row>
    <row r="45" spans="2:12" ht="14.4" x14ac:dyDescent="0.3">
      <c r="B45" s="6" t="s">
        <v>54</v>
      </c>
      <c r="F45"/>
    </row>
    <row r="46" spans="2:12" ht="63.75" customHeight="1" x14ac:dyDescent="0.2">
      <c r="B46" s="398" t="s">
        <v>55</v>
      </c>
      <c r="C46" s="398"/>
      <c r="D46" s="398"/>
      <c r="E46" s="398"/>
      <c r="F46" s="398"/>
      <c r="G46" s="398"/>
      <c r="H46" s="398"/>
      <c r="I46" s="398"/>
      <c r="J46" s="398"/>
      <c r="K46" s="398"/>
      <c r="L46" s="398"/>
    </row>
    <row r="47" spans="2:12" ht="14.4" x14ac:dyDescent="0.3">
      <c r="B47" s="1" t="s">
        <v>56</v>
      </c>
      <c r="C47" s="1" t="s">
        <v>57</v>
      </c>
      <c r="F47"/>
    </row>
    <row r="48" spans="2:12" ht="14.4" x14ac:dyDescent="0.3">
      <c r="B48" s="1" t="s">
        <v>58</v>
      </c>
      <c r="C48" s="1" t="s">
        <v>59</v>
      </c>
      <c r="F48"/>
    </row>
    <row r="49" spans="2:15" ht="14.4" x14ac:dyDescent="0.3">
      <c r="B49" s="1" t="s">
        <v>60</v>
      </c>
      <c r="C49" s="1" t="s">
        <v>61</v>
      </c>
      <c r="F49"/>
    </row>
    <row r="50" spans="2:15" ht="14.4" x14ac:dyDescent="0.3">
      <c r="F50"/>
    </row>
    <row r="51" spans="2:15" x14ac:dyDescent="0.2">
      <c r="B51" s="6" t="s">
        <v>62</v>
      </c>
    </row>
    <row r="52" spans="2:15" ht="85.2" customHeight="1" x14ac:dyDescent="0.2">
      <c r="B52" s="396" t="s">
        <v>614</v>
      </c>
      <c r="C52" s="396"/>
      <c r="D52" s="396"/>
      <c r="E52" s="396"/>
      <c r="F52" s="396"/>
      <c r="G52" s="396"/>
      <c r="H52" s="396"/>
      <c r="I52" s="396"/>
      <c r="J52" s="396"/>
      <c r="K52" s="396"/>
      <c r="L52" s="396"/>
      <c r="M52" s="396"/>
      <c r="N52" s="396"/>
      <c r="O52" s="396"/>
    </row>
  </sheetData>
  <sheetProtection algorithmName="SHA-512" hashValue="mcD/e8RiAD5jug5D6EFsmrnxZnLViY3KI6Kq3HP07ptjre0BaOzipqMDepv0Zhp+LAPq1ryYuqvzIWxImtKqhQ==" saltValue="S5JLAn1ksC5CgTeEYzP20g==" spinCount="100000" sheet="1" objects="1" scenarios="1"/>
  <mergeCells count="4">
    <mergeCell ref="B11:X11"/>
    <mergeCell ref="B8:K8"/>
    <mergeCell ref="B46:L46"/>
    <mergeCell ref="B52:O5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B713-78A4-4890-A0A7-DC0AC670F072}">
  <sheetPr codeName="Sheet16"/>
  <dimension ref="A1:Q1109"/>
  <sheetViews>
    <sheetView showGridLines="0" zoomScaleNormal="100" workbookViewId="0">
      <selection activeCell="D25" sqref="D25"/>
    </sheetView>
  </sheetViews>
  <sheetFormatPr defaultColWidth="9.109375" defaultRowHeight="11.4" x14ac:dyDescent="0.2"/>
  <cols>
    <col min="1" max="1" width="30.6640625" style="298" customWidth="1"/>
    <col min="2" max="2" width="1.33203125" style="284" customWidth="1"/>
    <col min="3" max="3" width="1.88671875" style="284" customWidth="1"/>
    <col min="4" max="4" width="56.33203125" style="284" customWidth="1"/>
    <col min="5" max="5" width="1.33203125" style="284" customWidth="1"/>
    <col min="6" max="6" width="30.88671875" style="284" customWidth="1"/>
    <col min="7" max="7" width="1.33203125" style="284" customWidth="1"/>
    <col min="8" max="11" width="30.6640625" style="284" customWidth="1"/>
    <col min="12" max="12" width="1.33203125" style="284" customWidth="1"/>
    <col min="13" max="13" width="28.109375" style="284" bestFit="1" customWidth="1"/>
    <col min="14" max="14" width="1.33203125" style="284" customWidth="1"/>
    <col min="15" max="15" width="23.5546875" style="284" customWidth="1"/>
    <col min="16" max="16" width="23.88671875" style="284" customWidth="1"/>
    <col min="17" max="17" width="25.33203125" style="284" customWidth="1"/>
    <col min="18" max="18" width="10.44140625" style="284" bestFit="1" customWidth="1"/>
    <col min="19" max="16384" width="9.109375" style="284"/>
  </cols>
  <sheetData>
    <row r="1" spans="1:14" ht="144" customHeight="1" x14ac:dyDescent="0.2">
      <c r="A1" s="283"/>
    </row>
    <row r="2" spans="1:14" ht="15" customHeight="1" x14ac:dyDescent="0.2">
      <c r="A2" s="283"/>
      <c r="C2" s="404" t="s">
        <v>63</v>
      </c>
      <c r="D2" s="404"/>
      <c r="E2" s="404"/>
      <c r="F2" s="404"/>
      <c r="G2" s="404"/>
      <c r="H2" s="404"/>
      <c r="I2" s="404"/>
      <c r="J2" s="404"/>
      <c r="K2" s="404"/>
      <c r="L2" s="404"/>
      <c r="M2" s="404"/>
      <c r="N2" s="404"/>
    </row>
    <row r="3" spans="1:14" ht="15" customHeight="1" thickBot="1" x14ac:dyDescent="0.25">
      <c r="A3" s="283"/>
    </row>
    <row r="4" spans="1:14" ht="15" customHeight="1" x14ac:dyDescent="0.2">
      <c r="A4" s="283"/>
      <c r="C4" s="405" t="s">
        <v>64</v>
      </c>
      <c r="D4" s="406"/>
      <c r="E4" s="285"/>
      <c r="F4" s="285"/>
      <c r="G4" s="285"/>
      <c r="H4" s="285"/>
      <c r="I4" s="285"/>
      <c r="J4" s="285"/>
      <c r="K4" s="285"/>
      <c r="L4" s="285"/>
      <c r="M4" s="285"/>
      <c r="N4" s="286"/>
    </row>
    <row r="5" spans="1:14" x14ac:dyDescent="0.2">
      <c r="A5" s="283"/>
      <c r="C5" s="287"/>
      <c r="D5" s="288"/>
      <c r="E5" s="299"/>
      <c r="F5" s="299"/>
      <c r="G5" s="299"/>
      <c r="H5" s="288"/>
      <c r="I5" s="288"/>
      <c r="J5" s="299"/>
      <c r="K5" s="300"/>
      <c r="L5" s="300"/>
      <c r="M5" s="288"/>
      <c r="N5" s="289"/>
    </row>
    <row r="6" spans="1:14" x14ac:dyDescent="0.2">
      <c r="A6" s="283"/>
      <c r="C6" s="287"/>
      <c r="D6" s="300" t="str">
        <f>Project!$B$6</f>
        <v>Project acronym</v>
      </c>
      <c r="E6" s="300"/>
      <c r="F6" s="407" t="str">
        <f>IF(Project!$C$6=0,"",Project!$C$6)</f>
        <v/>
      </c>
      <c r="G6" s="407"/>
      <c r="H6" s="407"/>
      <c r="I6" s="288"/>
      <c r="J6" s="300" t="str">
        <f>Technology!$B$6</f>
        <v>Targeted product(s)</v>
      </c>
      <c r="K6" s="382" t="str">
        <f>IF(Technology!$C$6=0,"",Technology!$C$6)</f>
        <v/>
      </c>
      <c r="L6" s="299"/>
      <c r="M6" s="288"/>
      <c r="N6" s="289"/>
    </row>
    <row r="7" spans="1:14" x14ac:dyDescent="0.2">
      <c r="A7" s="283"/>
      <c r="C7" s="287"/>
      <c r="D7" s="288"/>
      <c r="E7" s="299"/>
      <c r="F7" s="299"/>
      <c r="G7" s="299"/>
      <c r="H7" s="288"/>
      <c r="I7" s="288"/>
      <c r="J7" s="300"/>
      <c r="K7" s="383"/>
      <c r="L7" s="300"/>
      <c r="M7" s="288"/>
      <c r="N7" s="289"/>
    </row>
    <row r="8" spans="1:14" x14ac:dyDescent="0.2">
      <c r="A8" s="283"/>
      <c r="C8" s="287"/>
      <c r="D8" s="300" t="str">
        <f>Project!$B$9</f>
        <v>Start date</v>
      </c>
      <c r="E8" s="300"/>
      <c r="F8" s="408" t="str">
        <f>IF(Project!$C$9=0,"",Project!$C$9)</f>
        <v/>
      </c>
      <c r="G8" s="408"/>
      <c r="H8" s="408"/>
      <c r="I8" s="288"/>
      <c r="J8" s="300" t="str">
        <f>Technology!$B$11</f>
        <v xml:space="preserve">Current TRL </v>
      </c>
      <c r="K8" s="382" t="str">
        <f>IF(Technology!$C$11=0,"",Technology!$C$11)</f>
        <v/>
      </c>
      <c r="L8" s="299"/>
      <c r="M8" s="288"/>
      <c r="N8" s="289"/>
    </row>
    <row r="9" spans="1:14" x14ac:dyDescent="0.2">
      <c r="A9" s="283"/>
      <c r="C9" s="287"/>
      <c r="D9" s="288"/>
      <c r="E9" s="299"/>
      <c r="F9" s="299"/>
      <c r="G9" s="299"/>
      <c r="H9" s="288"/>
      <c r="I9" s="288"/>
      <c r="J9" s="300"/>
      <c r="K9" s="384"/>
      <c r="L9" s="324"/>
      <c r="M9" s="324"/>
      <c r="N9" s="289"/>
    </row>
    <row r="10" spans="1:14" x14ac:dyDescent="0.2">
      <c r="A10" s="283"/>
      <c r="C10" s="287"/>
      <c r="D10" s="300" t="str">
        <f>Project!$B$10</f>
        <v>Project duration (months)</v>
      </c>
      <c r="E10" s="300"/>
      <c r="F10" s="407" t="str">
        <f>IF(Project!$C$10=0,"",Project!$C$10)</f>
        <v/>
      </c>
      <c r="G10" s="407"/>
      <c r="H10" s="407"/>
      <c r="I10" s="288"/>
      <c r="J10" s="300" t="str">
        <f>Technology!$B$32</f>
        <v>Functional unit (FU)</v>
      </c>
      <c r="K10" s="385" t="str">
        <f>IF(Technology!$C$32=0,"",Technology!$C$32)</f>
        <v/>
      </c>
      <c r="L10" s="325"/>
      <c r="M10" s="325"/>
      <c r="N10" s="301"/>
    </row>
    <row r="11" spans="1:14" x14ac:dyDescent="0.2">
      <c r="A11" s="283"/>
      <c r="C11" s="287"/>
      <c r="D11" s="288"/>
      <c r="E11" s="299"/>
      <c r="F11" s="299"/>
      <c r="G11" s="299"/>
      <c r="H11" s="288"/>
      <c r="I11" s="288"/>
      <c r="J11" s="300"/>
      <c r="K11" s="385"/>
      <c r="L11" s="325"/>
      <c r="M11" s="325"/>
      <c r="N11" s="301"/>
    </row>
    <row r="12" spans="1:14" x14ac:dyDescent="0.2">
      <c r="A12" s="283"/>
      <c r="C12" s="287"/>
      <c r="D12" s="300" t="str">
        <f>Project!$B$11</f>
        <v>Total budget (€)</v>
      </c>
      <c r="E12" s="300"/>
      <c r="F12" s="410" t="str">
        <f>IF(Project!$C$11=0,"",Project!$C$11)</f>
        <v/>
      </c>
      <c r="G12" s="410"/>
      <c r="H12" s="410"/>
      <c r="I12" s="326"/>
      <c r="J12" s="300" t="str">
        <f>Technology!$B$8</f>
        <v>Process description</v>
      </c>
      <c r="K12" s="411" t="str">
        <f>IF(Technology!$B$9=0,"",Technology!$B$9)</f>
        <v/>
      </c>
      <c r="L12" s="411"/>
      <c r="M12" s="411"/>
      <c r="N12" s="301"/>
    </row>
    <row r="13" spans="1:14" x14ac:dyDescent="0.2">
      <c r="A13" s="283"/>
      <c r="C13" s="287"/>
      <c r="D13" s="288"/>
      <c r="E13" s="299"/>
      <c r="F13" s="299"/>
      <c r="G13" s="299"/>
      <c r="H13" s="288"/>
      <c r="I13" s="288"/>
      <c r="J13" s="300"/>
      <c r="K13" s="411"/>
      <c r="L13" s="411"/>
      <c r="M13" s="411"/>
      <c r="N13" s="301"/>
    </row>
    <row r="14" spans="1:14" x14ac:dyDescent="0.2">
      <c r="A14" s="283"/>
      <c r="C14" s="287"/>
      <c r="D14" s="300" t="str">
        <f>Project!$B$12</f>
        <v>Total number of person-months</v>
      </c>
      <c r="E14" s="300"/>
      <c r="F14" s="407" t="str">
        <f>IF(Project!$C$12=0,"",Project!$C$12)</f>
        <v/>
      </c>
      <c r="G14" s="407"/>
      <c r="H14" s="407"/>
      <c r="I14" s="288"/>
      <c r="J14" s="300"/>
      <c r="K14" s="411"/>
      <c r="L14" s="411"/>
      <c r="M14" s="411"/>
      <c r="N14" s="301"/>
    </row>
    <row r="15" spans="1:14" x14ac:dyDescent="0.2">
      <c r="A15" s="283"/>
      <c r="C15" s="287"/>
      <c r="D15" s="288"/>
      <c r="E15" s="299"/>
      <c r="F15" s="299"/>
      <c r="G15" s="299"/>
      <c r="H15" s="288"/>
      <c r="I15" s="288"/>
      <c r="J15" s="300"/>
      <c r="K15" s="411"/>
      <c r="L15" s="411"/>
      <c r="M15" s="411"/>
      <c r="N15" s="289"/>
    </row>
    <row r="16" spans="1:14" x14ac:dyDescent="0.2">
      <c r="A16" s="283"/>
      <c r="C16" s="287"/>
      <c r="D16" s="300" t="str">
        <f>Project!$B$13</f>
        <v>Lead partner (coordinator)</v>
      </c>
      <c r="E16" s="300"/>
      <c r="F16" s="412" t="str">
        <f>IF(Project!$C$13=0,"",Project!$C$13)</f>
        <v/>
      </c>
      <c r="G16" s="412"/>
      <c r="H16" s="412"/>
      <c r="I16" s="325"/>
      <c r="J16" s="300"/>
      <c r="K16" s="299"/>
      <c r="L16" s="299"/>
      <c r="M16" s="288"/>
      <c r="N16" s="289"/>
    </row>
    <row r="17" spans="1:14" x14ac:dyDescent="0.2">
      <c r="A17" s="283"/>
      <c r="C17" s="287"/>
      <c r="D17" s="288"/>
      <c r="E17" s="299"/>
      <c r="F17" s="299"/>
      <c r="G17" s="299"/>
      <c r="H17" s="288"/>
      <c r="I17" s="288"/>
      <c r="J17" s="300" t="str">
        <f>Technology!$B$23</f>
        <v>Geographical scope</v>
      </c>
      <c r="K17" s="386" t="str">
        <f>IF(Technology!$C$23=0,"",Technology!$C$23)</f>
        <v>Flanders</v>
      </c>
      <c r="L17" s="299"/>
      <c r="M17" s="288"/>
      <c r="N17" s="289"/>
    </row>
    <row r="18" spans="1:14" x14ac:dyDescent="0.2">
      <c r="A18" s="283"/>
      <c r="C18" s="287"/>
      <c r="D18" s="300" t="str">
        <f>Project!$B$14</f>
        <v>Other consortium partners</v>
      </c>
      <c r="E18" s="300"/>
      <c r="F18" s="412" t="str">
        <f>IF(Project!$C$14=0,"",Project!$C$14)</f>
        <v/>
      </c>
      <c r="G18" s="412"/>
      <c r="H18" s="412"/>
      <c r="I18" s="325"/>
      <c r="J18" s="300"/>
      <c r="K18" s="299"/>
      <c r="L18" s="299"/>
      <c r="M18" s="288"/>
      <c r="N18" s="289"/>
    </row>
    <row r="19" spans="1:14" ht="12" thickBot="1" x14ac:dyDescent="0.25">
      <c r="A19" s="283"/>
      <c r="C19" s="290"/>
      <c r="D19" s="291"/>
      <c r="E19" s="291"/>
      <c r="F19" s="291"/>
      <c r="G19" s="291"/>
      <c r="H19" s="291"/>
      <c r="I19" s="291"/>
      <c r="J19" s="291"/>
      <c r="K19" s="291"/>
      <c r="L19" s="291"/>
      <c r="M19" s="291"/>
      <c r="N19" s="292"/>
    </row>
    <row r="20" spans="1:14" x14ac:dyDescent="0.2">
      <c r="A20" s="283"/>
    </row>
    <row r="21" spans="1:14" ht="12" thickBot="1" x14ac:dyDescent="0.25">
      <c r="A21" s="283"/>
    </row>
    <row r="22" spans="1:14" ht="14.25" customHeight="1" x14ac:dyDescent="0.2">
      <c r="A22" s="283"/>
      <c r="C22" s="405" t="s">
        <v>65</v>
      </c>
      <c r="D22" s="406"/>
      <c r="E22" s="293"/>
      <c r="F22" s="293"/>
      <c r="G22" s="293"/>
      <c r="H22" s="293"/>
      <c r="I22" s="293"/>
      <c r="J22" s="293"/>
      <c r="K22" s="293"/>
      <c r="L22" s="293"/>
      <c r="M22" s="293"/>
      <c r="N22" s="294"/>
    </row>
    <row r="23" spans="1:14" x14ac:dyDescent="0.2">
      <c r="A23" s="283"/>
      <c r="C23" s="287"/>
      <c r="D23" s="288"/>
      <c r="E23" s="288"/>
      <c r="F23" s="288"/>
      <c r="G23" s="288"/>
      <c r="H23" s="288"/>
      <c r="I23" s="288"/>
      <c r="J23" s="288"/>
      <c r="K23" s="288"/>
      <c r="L23" s="288"/>
      <c r="M23" s="288"/>
      <c r="N23" s="289"/>
    </row>
    <row r="24" spans="1:14" x14ac:dyDescent="0.2">
      <c r="A24" s="283"/>
      <c r="C24" s="287"/>
      <c r="D24" s="300" t="s">
        <v>66</v>
      </c>
      <c r="E24" s="288"/>
      <c r="F24" s="288"/>
      <c r="G24" s="288"/>
      <c r="H24" s="288"/>
      <c r="I24" s="288"/>
      <c r="J24" s="288"/>
      <c r="K24" s="288"/>
      <c r="L24" s="288"/>
      <c r="M24" s="288"/>
      <c r="N24" s="289"/>
    </row>
    <row r="25" spans="1:14" x14ac:dyDescent="0.2">
      <c r="A25" s="283"/>
      <c r="C25" s="287"/>
      <c r="D25" s="395" t="s">
        <v>67</v>
      </c>
      <c r="E25" s="288"/>
      <c r="F25" s="288"/>
      <c r="G25" s="288"/>
      <c r="H25" s="288"/>
      <c r="I25" s="288"/>
      <c r="J25" s="288"/>
      <c r="K25" s="288"/>
      <c r="L25" s="288"/>
      <c r="M25" s="288"/>
      <c r="N25" s="289"/>
    </row>
    <row r="26" spans="1:14" ht="12" thickBot="1" x14ac:dyDescent="0.25">
      <c r="A26" s="283"/>
      <c r="C26" s="290"/>
      <c r="D26" s="291"/>
      <c r="E26" s="291"/>
      <c r="F26" s="291"/>
      <c r="G26" s="291"/>
      <c r="H26" s="291"/>
      <c r="I26" s="291"/>
      <c r="J26" s="291"/>
      <c r="K26" s="291"/>
      <c r="L26" s="291"/>
      <c r="M26" s="291"/>
      <c r="N26" s="292"/>
    </row>
    <row r="27" spans="1:14" x14ac:dyDescent="0.2">
      <c r="A27" s="283"/>
    </row>
    <row r="28" spans="1:14" ht="12" thickBot="1" x14ac:dyDescent="0.25">
      <c r="A28" s="283"/>
    </row>
    <row r="29" spans="1:14" ht="15" customHeight="1" x14ac:dyDescent="0.2">
      <c r="A29" s="283"/>
      <c r="C29" s="302" t="s">
        <v>68</v>
      </c>
      <c r="D29" s="303"/>
      <c r="E29" s="295"/>
      <c r="F29" s="295"/>
      <c r="G29" s="295"/>
      <c r="H29" s="285"/>
      <c r="I29" s="285"/>
      <c r="J29" s="285"/>
      <c r="K29" s="285"/>
      <c r="L29" s="285"/>
      <c r="M29" s="285"/>
      <c r="N29" s="286"/>
    </row>
    <row r="30" spans="1:14" x14ac:dyDescent="0.2">
      <c r="A30" s="283"/>
      <c r="C30" s="287"/>
      <c r="D30" s="288"/>
      <c r="E30" s="288"/>
      <c r="F30" s="288"/>
      <c r="G30" s="288"/>
      <c r="H30" s="288"/>
      <c r="I30" s="288"/>
      <c r="J30" s="288"/>
      <c r="K30" s="288"/>
      <c r="L30" s="288"/>
      <c r="M30" s="288"/>
      <c r="N30" s="289"/>
    </row>
    <row r="31" spans="1:14" x14ac:dyDescent="0.2">
      <c r="A31" s="283"/>
      <c r="C31" s="287"/>
      <c r="D31" s="327" t="s">
        <v>69</v>
      </c>
      <c r="E31" s="361"/>
      <c r="F31" s="361" t="str">
        <f>$D$25</f>
        <v xml:space="preserve">1. Pathway 1 </v>
      </c>
      <c r="G31" s="362"/>
      <c r="H31" s="362" t="str">
        <f>'Pathway definition and results'!$E$28</f>
        <v xml:space="preserve">1. Pathway 1 </v>
      </c>
      <c r="I31" s="362" t="str">
        <f>'Pathway definition and results'!$F$28</f>
        <v>2. Pathway 2</v>
      </c>
      <c r="J31" s="362" t="str">
        <f>'Pathway definition and results'!$G$28</f>
        <v>3. Pathway 3</v>
      </c>
      <c r="K31" s="363" t="str">
        <f>'Pathway definition and results'!$H$28</f>
        <v xml:space="preserve">4. Pathway 4 </v>
      </c>
      <c r="L31" s="300"/>
      <c r="M31" s="288"/>
      <c r="N31" s="289"/>
    </row>
    <row r="32" spans="1:14" x14ac:dyDescent="0.2">
      <c r="A32" s="283"/>
      <c r="C32" s="287"/>
      <c r="D32" s="330" t="s">
        <v>70</v>
      </c>
      <c r="E32" s="364"/>
      <c r="F32" s="364" t="str" cm="1">
        <f t="array" ref="F32">INDEX($H$32:$K$37,1,IF(F31=H31,1,IF(F31=I31,2,IF(F31=J31,3,4))))</f>
        <v>-</v>
      </c>
      <c r="G32" s="365"/>
      <c r="H32" s="366" t="str">
        <f>IF('Pathway definition and results'!E40=0,"-",'Pathway definition and results'!E40)</f>
        <v>-</v>
      </c>
      <c r="I32" s="366" t="str">
        <f>IF('Pathway definition and results'!F40=0,"-",'Pathway definition and results'!F40)</f>
        <v>-</v>
      </c>
      <c r="J32" s="366" t="str">
        <f>IF('Pathway definition and results'!G40=0,"-",'Pathway definition and results'!G40)</f>
        <v>-</v>
      </c>
      <c r="K32" s="367" t="str">
        <f>IF('Pathway definition and results'!H40=0,"-",'Pathway definition and results'!H40)</f>
        <v>-</v>
      </c>
      <c r="L32" s="304"/>
      <c r="M32" s="288"/>
      <c r="N32" s="289"/>
    </row>
    <row r="33" spans="1:17" x14ac:dyDescent="0.2">
      <c r="A33" s="283"/>
      <c r="C33" s="287"/>
      <c r="D33" s="331" t="s">
        <v>71</v>
      </c>
      <c r="E33" s="368"/>
      <c r="F33" s="368" t="str" cm="1">
        <f t="array" ref="F33">INDEX($H$32:$K$37,2,IF(F31=H31,1,IF(F31=I31,2,IF(F31=J31,3,4))))</f>
        <v>-</v>
      </c>
      <c r="G33" s="369"/>
      <c r="H33" s="370" t="str">
        <f>IF('Pathway definition and results'!E41=0,"-",'Pathway definition and results'!E41)</f>
        <v>-</v>
      </c>
      <c r="I33" s="370" t="str">
        <f>IF('Pathway definition and results'!F41=0,"-",'Pathway definition and results'!F41)</f>
        <v>-</v>
      </c>
      <c r="J33" s="370" t="str">
        <f>IF('Pathway definition and results'!G41=0,"-",'Pathway definition and results'!G41)</f>
        <v>-</v>
      </c>
      <c r="K33" s="371" t="str">
        <f>IF('Pathway definition and results'!H41=0,"-",'Pathway definition and results'!H41)</f>
        <v>-</v>
      </c>
      <c r="L33" s="304"/>
      <c r="M33" s="288"/>
      <c r="N33" s="289"/>
    </row>
    <row r="34" spans="1:17" x14ac:dyDescent="0.2">
      <c r="A34" s="283"/>
      <c r="C34" s="287"/>
      <c r="D34" s="331" t="s">
        <v>72</v>
      </c>
      <c r="E34" s="368"/>
      <c r="F34" s="368" t="str" cm="1">
        <f t="array" ref="F34">INDEX($H$32:$K$37,3,IF(F31=H31,1,IF(F31=I31,2,IF(F31=J31,3,4))))</f>
        <v>-</v>
      </c>
      <c r="G34" s="369"/>
      <c r="H34" s="370" t="str">
        <f>IF('Pathway definition and results'!E42=0,"-",'Pathway definition and results'!E42)</f>
        <v>-</v>
      </c>
      <c r="I34" s="370" t="str">
        <f>IF('Pathway definition and results'!F42=0,"-",'Pathway definition and results'!F42)</f>
        <v>-</v>
      </c>
      <c r="J34" s="370" t="str">
        <f>IF('Pathway definition and results'!G42=0,"-",'Pathway definition and results'!G42)</f>
        <v>-</v>
      </c>
      <c r="K34" s="371" t="str">
        <f>IF('Pathway definition and results'!H42=0,"-",'Pathway definition and results'!H42)</f>
        <v>-</v>
      </c>
      <c r="L34" s="304"/>
      <c r="M34" s="288"/>
      <c r="N34" s="289"/>
    </row>
    <row r="35" spans="1:17" x14ac:dyDescent="0.2">
      <c r="A35" s="283"/>
      <c r="C35" s="287"/>
      <c r="D35" s="331" t="s">
        <v>73</v>
      </c>
      <c r="E35" s="368"/>
      <c r="F35" s="368" t="str" cm="1">
        <f t="array" ref="F35">INDEX($H$32:$K$37,4,IF(F31=H31,1,IF(F31=I31,2,IF(F31=J31,3,4))))</f>
        <v>-</v>
      </c>
      <c r="G35" s="369"/>
      <c r="H35" s="370" t="str">
        <f>IF('Pathway definition and results'!E43=0,"-",'Pathway definition and results'!E43)</f>
        <v>-</v>
      </c>
      <c r="I35" s="370" t="str">
        <f>IF('Pathway definition and results'!F43=0,"-",'Pathway definition and results'!F43)</f>
        <v>-</v>
      </c>
      <c r="J35" s="370" t="str">
        <f>IF('Pathway definition and results'!G43=0,"-",'Pathway definition and results'!G43)</f>
        <v>-</v>
      </c>
      <c r="K35" s="371" t="str">
        <f>IF('Pathway definition and results'!H43=0,"-",'Pathway definition and results'!H43)</f>
        <v>-</v>
      </c>
      <c r="L35" s="304"/>
      <c r="M35" s="288"/>
      <c r="N35" s="289"/>
    </row>
    <row r="36" spans="1:17" x14ac:dyDescent="0.2">
      <c r="A36" s="283"/>
      <c r="C36" s="287"/>
      <c r="D36" s="331" t="s">
        <v>74</v>
      </c>
      <c r="E36" s="368"/>
      <c r="F36" s="368" t="str" cm="1">
        <f t="array" ref="F36">INDEX($H$32:$K$37,5,IF(F31=H31,1,IF(F31=I31,2,IF(F31=J31,3,4))))</f>
        <v>-</v>
      </c>
      <c r="G36" s="369"/>
      <c r="H36" s="370" t="str">
        <f>IF('Pathway definition and results'!E44=0,"-",'Pathway definition and results'!E44)</f>
        <v>-</v>
      </c>
      <c r="I36" s="370" t="str">
        <f>IF('Pathway definition and results'!F44=0,"-",'Pathway definition and results'!F44)</f>
        <v>-</v>
      </c>
      <c r="J36" s="370" t="str">
        <f>IF('Pathway definition and results'!G44=0,"-",'Pathway definition and results'!G44)</f>
        <v>-</v>
      </c>
      <c r="K36" s="371" t="str">
        <f>IF('Pathway definition and results'!H44=0,"-",'Pathway definition and results'!H44)</f>
        <v>-</v>
      </c>
      <c r="L36" s="304"/>
      <c r="M36" s="288"/>
      <c r="N36" s="289"/>
    </row>
    <row r="37" spans="1:17" x14ac:dyDescent="0.2">
      <c r="A37" s="283"/>
      <c r="C37" s="287"/>
      <c r="D37" s="332" t="s">
        <v>75</v>
      </c>
      <c r="E37" s="372"/>
      <c r="F37" s="372" t="str" cm="1">
        <f t="array" ref="F37">INDEX($H$32:$K$37,6,IF(F31=H31,1,IF(F31=I31,2,IF(F31=J31,3,4))))</f>
        <v>-</v>
      </c>
      <c r="G37" s="373"/>
      <c r="H37" s="374" t="str">
        <f>IF('Pathway definition and results'!E45=0,"-",'Pathway definition and results'!E45)</f>
        <v>-</v>
      </c>
      <c r="I37" s="374" t="str">
        <f>IF('Pathway definition and results'!F45=0,"-",'Pathway definition and results'!F45)</f>
        <v>-</v>
      </c>
      <c r="J37" s="374" t="str">
        <f>IF('Pathway definition and results'!G45=0,"-",'Pathway definition and results'!G45)</f>
        <v>-</v>
      </c>
      <c r="K37" s="375" t="str">
        <f>IF('Pathway definition and results'!H45=0,"-",'Pathway definition and results'!H45)</f>
        <v>-</v>
      </c>
      <c r="L37" s="304"/>
      <c r="M37" s="288"/>
      <c r="N37" s="289"/>
    </row>
    <row r="38" spans="1:17" ht="12" thickBot="1" x14ac:dyDescent="0.25">
      <c r="A38" s="283"/>
      <c r="C38" s="290"/>
      <c r="D38" s="291"/>
      <c r="E38" s="291"/>
      <c r="F38" s="291"/>
      <c r="G38" s="291"/>
      <c r="H38" s="291"/>
      <c r="I38" s="291"/>
      <c r="J38" s="291"/>
      <c r="K38" s="291"/>
      <c r="L38" s="291"/>
      <c r="M38" s="291"/>
      <c r="N38" s="292"/>
    </row>
    <row r="39" spans="1:17" x14ac:dyDescent="0.2">
      <c r="A39" s="283"/>
    </row>
    <row r="40" spans="1:17" ht="12" thickBot="1" x14ac:dyDescent="0.25">
      <c r="A40" s="283"/>
    </row>
    <row r="41" spans="1:17" ht="15" customHeight="1" x14ac:dyDescent="0.2">
      <c r="A41" s="283"/>
      <c r="C41" s="405" t="s">
        <v>76</v>
      </c>
      <c r="D41" s="406"/>
      <c r="E41" s="293"/>
      <c r="F41" s="293"/>
      <c r="G41" s="293"/>
      <c r="H41" s="293"/>
      <c r="I41" s="293"/>
      <c r="J41" s="293"/>
      <c r="K41" s="293"/>
      <c r="L41" s="293"/>
      <c r="M41" s="293"/>
      <c r="N41" s="294"/>
    </row>
    <row r="42" spans="1:17" x14ac:dyDescent="0.2">
      <c r="A42" s="283"/>
      <c r="C42" s="287"/>
      <c r="D42" s="288"/>
      <c r="E42" s="288"/>
      <c r="F42" s="288"/>
      <c r="G42" s="288"/>
      <c r="H42" s="288"/>
      <c r="I42" s="288"/>
      <c r="J42" s="288"/>
      <c r="K42" s="288"/>
      <c r="L42" s="288"/>
      <c r="M42" s="288"/>
      <c r="N42" s="289"/>
    </row>
    <row r="43" spans="1:17" ht="15" customHeight="1" x14ac:dyDescent="0.2">
      <c r="A43" s="283"/>
      <c r="C43" s="287"/>
      <c r="D43" s="409">
        <f>IFERROR(F67,0)</f>
        <v>0</v>
      </c>
      <c r="E43" s="288"/>
      <c r="F43" s="288"/>
      <c r="G43" s="288"/>
      <c r="H43" s="288"/>
      <c r="I43" s="288"/>
      <c r="J43" s="288"/>
      <c r="K43" s="413">
        <f>IFERROR(F70,0)</f>
        <v>0</v>
      </c>
      <c r="L43" s="413"/>
      <c r="M43" s="413"/>
      <c r="N43" s="289"/>
      <c r="P43" s="296"/>
      <c r="Q43" s="296"/>
    </row>
    <row r="44" spans="1:17" ht="15" customHeight="1" x14ac:dyDescent="0.2">
      <c r="A44" s="283"/>
      <c r="C44" s="287"/>
      <c r="D44" s="409"/>
      <c r="E44" s="288"/>
      <c r="F44" s="288"/>
      <c r="G44" s="288"/>
      <c r="H44" s="288"/>
      <c r="I44" s="288"/>
      <c r="J44" s="288"/>
      <c r="K44" s="413"/>
      <c r="L44" s="413"/>
      <c r="M44" s="413"/>
      <c r="N44" s="289"/>
      <c r="P44" s="296"/>
      <c r="Q44" s="296"/>
    </row>
    <row r="45" spans="1:17" ht="11.25" customHeight="1" x14ac:dyDescent="0.2">
      <c r="A45" s="283"/>
      <c r="C45" s="287"/>
      <c r="D45" s="409"/>
      <c r="E45" s="288"/>
      <c r="F45" s="288"/>
      <c r="G45" s="288"/>
      <c r="H45" s="288"/>
      <c r="I45" s="288"/>
      <c r="J45" s="288"/>
      <c r="K45" s="413"/>
      <c r="L45" s="413"/>
      <c r="M45" s="413"/>
      <c r="N45" s="289"/>
    </row>
    <row r="46" spans="1:17" ht="11.25" customHeight="1" x14ac:dyDescent="0.2">
      <c r="A46" s="283"/>
      <c r="C46" s="287"/>
      <c r="D46" s="409"/>
      <c r="E46" s="288"/>
      <c r="F46" s="288"/>
      <c r="G46" s="288"/>
      <c r="H46" s="288"/>
      <c r="I46" s="288"/>
      <c r="J46" s="288"/>
      <c r="K46" s="413"/>
      <c r="L46" s="413"/>
      <c r="M46" s="413"/>
      <c r="N46" s="289"/>
    </row>
    <row r="47" spans="1:17" ht="11.25" customHeight="1" x14ac:dyDescent="0.2">
      <c r="A47" s="283"/>
      <c r="C47" s="287"/>
      <c r="D47" s="409"/>
      <c r="E47" s="288"/>
      <c r="F47" s="288"/>
      <c r="G47" s="288"/>
      <c r="H47" s="288"/>
      <c r="I47" s="288"/>
      <c r="J47" s="288"/>
      <c r="K47" s="413"/>
      <c r="L47" s="413"/>
      <c r="M47" s="413"/>
      <c r="N47" s="289"/>
    </row>
    <row r="48" spans="1:17" ht="11.25" customHeight="1" x14ac:dyDescent="0.2">
      <c r="A48" s="283"/>
      <c r="C48" s="287"/>
      <c r="D48" s="388"/>
      <c r="E48" s="288"/>
      <c r="F48" s="288"/>
      <c r="G48" s="288"/>
      <c r="H48" s="288"/>
      <c r="I48" s="288"/>
      <c r="J48" s="288"/>
      <c r="K48" s="389"/>
      <c r="L48" s="389"/>
      <c r="M48" s="389"/>
      <c r="N48" s="289"/>
    </row>
    <row r="49" spans="1:17" x14ac:dyDescent="0.2">
      <c r="A49" s="283"/>
      <c r="C49" s="287"/>
      <c r="D49" s="305" t="s">
        <v>77</v>
      </c>
      <c r="E49" s="288"/>
      <c r="F49" s="288"/>
      <c r="G49" s="288"/>
      <c r="H49" s="288"/>
      <c r="I49" s="288"/>
      <c r="J49" s="288"/>
      <c r="K49" s="399" t="s">
        <v>78</v>
      </c>
      <c r="L49" s="399"/>
      <c r="M49" s="399"/>
      <c r="N49" s="289"/>
    </row>
    <row r="50" spans="1:17" x14ac:dyDescent="0.2">
      <c r="A50" s="283"/>
      <c r="C50" s="287"/>
      <c r="D50" s="305"/>
      <c r="E50" s="288"/>
      <c r="F50" s="288"/>
      <c r="G50" s="288"/>
      <c r="H50" s="288"/>
      <c r="I50" s="288"/>
      <c r="J50" s="288"/>
      <c r="N50" s="289"/>
    </row>
    <row r="51" spans="1:17" ht="15" customHeight="1" x14ac:dyDescent="0.2">
      <c r="A51" s="283"/>
      <c r="C51" s="287"/>
      <c r="D51" s="400" t="str">
        <f>"The Interal Rate of Return (IRR) for " &amp; MID(F62,4,9) &amp; " is " &amp; TEXT(D43,"0,0%") &amp; "."
&amp; " The IRR is a metric used in financial analysis to estimate the profitability of potential investments. The IRR is a discount rate that makes the net present value (NPV) of all cash flows equal to zero in a discounted cash flow analysis."</f>
        <v>The Interal Rate of Return (IRR) for Pathway 1 is 00%. The IRR is a metric used in financial analysis to estimate the profitability of potential investments. The IRR is a discount rate that makes the net present value (NPV) of all cash flows equal to zero in a discounted cash flow analysis.</v>
      </c>
      <c r="E51" s="288"/>
      <c r="F51" s="288"/>
      <c r="G51" s="288"/>
      <c r="H51" s="288"/>
      <c r="I51" s="288"/>
      <c r="J51" s="288"/>
      <c r="K51" s="400" t="str">
        <f>"The total manufacturing cost (in €/yr) for " &amp; MID(F62,4,9) &amp; " is " &amp; TEXT(K43,"#.##0,00") &amp; " €/yr. This represents the sum of the total operational expenditures for one year."</f>
        <v>The total manufacturing cost (in €/yr) for Pathway 1 is .000 €/yr. This represents the sum of the total operational expenditures for one year.</v>
      </c>
      <c r="L51" s="400"/>
      <c r="M51" s="400"/>
      <c r="N51" s="289"/>
    </row>
    <row r="52" spans="1:17" x14ac:dyDescent="0.2">
      <c r="A52" s="283"/>
      <c r="C52" s="287"/>
      <c r="D52" s="400"/>
      <c r="E52" s="288"/>
      <c r="F52" s="288"/>
      <c r="G52" s="288"/>
      <c r="H52" s="288"/>
      <c r="I52" s="288"/>
      <c r="J52" s="288"/>
      <c r="K52" s="400"/>
      <c r="L52" s="400"/>
      <c r="M52" s="400"/>
      <c r="N52" s="289"/>
    </row>
    <row r="53" spans="1:17" x14ac:dyDescent="0.2">
      <c r="A53" s="283"/>
      <c r="C53" s="287"/>
      <c r="D53" s="400"/>
      <c r="E53" s="288"/>
      <c r="F53" s="288"/>
      <c r="G53" s="288"/>
      <c r="H53" s="288"/>
      <c r="I53" s="288"/>
      <c r="J53" s="288"/>
      <c r="K53" s="400"/>
      <c r="L53" s="400"/>
      <c r="M53" s="400"/>
      <c r="N53" s="289"/>
      <c r="P53" s="296"/>
      <c r="Q53" s="296"/>
    </row>
    <row r="54" spans="1:17" x14ac:dyDescent="0.2">
      <c r="A54" s="283"/>
      <c r="C54" s="287"/>
      <c r="D54" s="400"/>
      <c r="E54" s="288"/>
      <c r="F54" s="288"/>
      <c r="G54" s="288"/>
      <c r="H54" s="288"/>
      <c r="I54" s="288"/>
      <c r="J54" s="288"/>
      <c r="K54" s="400"/>
      <c r="L54" s="400"/>
      <c r="M54" s="400"/>
      <c r="N54" s="289"/>
      <c r="P54" s="296"/>
      <c r="Q54" s="296"/>
    </row>
    <row r="55" spans="1:17" x14ac:dyDescent="0.2">
      <c r="A55" s="283"/>
      <c r="C55" s="287"/>
      <c r="D55" s="400"/>
      <c r="E55" s="288"/>
      <c r="F55" s="288"/>
      <c r="G55" s="288"/>
      <c r="H55" s="288"/>
      <c r="I55" s="288"/>
      <c r="J55" s="288"/>
      <c r="K55" s="400"/>
      <c r="L55" s="400"/>
      <c r="M55" s="400"/>
      <c r="N55" s="289"/>
      <c r="P55" s="296"/>
      <c r="Q55" s="296"/>
    </row>
    <row r="56" spans="1:17" x14ac:dyDescent="0.2">
      <c r="A56" s="283"/>
      <c r="C56" s="287"/>
      <c r="D56" s="400"/>
      <c r="E56" s="288"/>
      <c r="F56" s="288"/>
      <c r="G56" s="288"/>
      <c r="H56" s="288"/>
      <c r="I56" s="288"/>
      <c r="J56" s="288"/>
      <c r="K56" s="400"/>
      <c r="L56" s="400"/>
      <c r="M56" s="400"/>
      <c r="N56" s="289"/>
      <c r="P56" s="296"/>
      <c r="Q56" s="296"/>
    </row>
    <row r="57" spans="1:17" ht="12" thickBot="1" x14ac:dyDescent="0.25">
      <c r="A57" s="283"/>
      <c r="C57" s="290"/>
      <c r="D57" s="291"/>
      <c r="E57" s="291"/>
      <c r="F57" s="291"/>
      <c r="G57" s="291"/>
      <c r="H57" s="291"/>
      <c r="I57" s="291"/>
      <c r="J57" s="291"/>
      <c r="K57" s="291"/>
      <c r="L57" s="291"/>
      <c r="M57" s="291"/>
      <c r="N57" s="292"/>
    </row>
    <row r="58" spans="1:17" x14ac:dyDescent="0.2">
      <c r="A58" s="283"/>
    </row>
    <row r="59" spans="1:17" ht="12" thickBot="1" x14ac:dyDescent="0.25">
      <c r="A59" s="283"/>
    </row>
    <row r="60" spans="1:17" x14ac:dyDescent="0.2">
      <c r="A60" s="283"/>
      <c r="C60" s="302" t="s">
        <v>79</v>
      </c>
      <c r="D60" s="302"/>
      <c r="E60" s="303"/>
      <c r="F60" s="302"/>
      <c r="G60" s="303"/>
      <c r="H60" s="293"/>
      <c r="I60" s="293"/>
      <c r="J60" s="293"/>
      <c r="K60" s="293"/>
      <c r="L60" s="293"/>
      <c r="M60" s="293"/>
      <c r="N60" s="294"/>
    </row>
    <row r="61" spans="1:17" x14ac:dyDescent="0.2">
      <c r="A61" s="283"/>
      <c r="C61" s="287"/>
      <c r="D61" s="288"/>
      <c r="E61" s="288"/>
      <c r="F61" s="288"/>
      <c r="G61" s="288"/>
      <c r="H61" s="288"/>
      <c r="I61" s="288"/>
      <c r="J61" s="288"/>
      <c r="K61" s="288"/>
      <c r="L61" s="288"/>
      <c r="M61" s="288"/>
      <c r="N61" s="289"/>
    </row>
    <row r="62" spans="1:17" x14ac:dyDescent="0.2">
      <c r="A62" s="283"/>
      <c r="C62" s="287"/>
      <c r="D62" s="333" t="s">
        <v>76</v>
      </c>
      <c r="E62" s="334"/>
      <c r="F62" s="334" t="str">
        <f>$D$25</f>
        <v xml:space="preserve">1. Pathway 1 </v>
      </c>
      <c r="G62" s="328"/>
      <c r="H62" s="328" t="str">
        <f>'Pathway definition and results'!$E$28</f>
        <v xml:space="preserve">1. Pathway 1 </v>
      </c>
      <c r="I62" s="328" t="str">
        <f>'Pathway definition and results'!$F$28</f>
        <v>2. Pathway 2</v>
      </c>
      <c r="J62" s="328" t="str">
        <f>'Pathway definition and results'!$G$28</f>
        <v>3. Pathway 3</v>
      </c>
      <c r="K62" s="329" t="str">
        <f>'Pathway definition and results'!$H$28</f>
        <v xml:space="preserve">4. Pathway 4 </v>
      </c>
      <c r="L62" s="300"/>
      <c r="M62" s="288"/>
      <c r="N62" s="289"/>
    </row>
    <row r="63" spans="1:17" x14ac:dyDescent="0.2">
      <c r="A63" s="283"/>
      <c r="C63" s="287"/>
      <c r="D63" s="335" t="s">
        <v>80</v>
      </c>
      <c r="E63" s="376"/>
      <c r="F63" s="376" cm="1">
        <f t="array" ref="F63">INDEX($H$63:$K$74,1,IF($F$62=$H$62,1,IF($F$62=$I$62,2,IF($F$62=$J$62,3,4))))</f>
        <v>0</v>
      </c>
      <c r="G63" s="377"/>
      <c r="H63" s="377">
        <f>'Pathway definition and results'!$E46</f>
        <v>0</v>
      </c>
      <c r="I63" s="377">
        <f>'Pathway definition and results'!$F46</f>
        <v>0</v>
      </c>
      <c r="J63" s="377">
        <f>'Pathway definition and results'!$G46</f>
        <v>0</v>
      </c>
      <c r="K63" s="378">
        <f>'Pathway definition and results'!$H46</f>
        <v>0</v>
      </c>
      <c r="L63" s="306"/>
      <c r="M63" s="288"/>
      <c r="N63" s="289"/>
    </row>
    <row r="64" spans="1:17" x14ac:dyDescent="0.2">
      <c r="A64" s="283"/>
      <c r="C64" s="287"/>
      <c r="D64" s="338" t="s">
        <v>81</v>
      </c>
      <c r="E64" s="379"/>
      <c r="F64" s="379" cm="1">
        <f t="array" ref="F64">INDEX($H$63:$K$74,2,IF($F$62=$H$62,1,IF($F$62=$I$62,2,IF($F$62=$J$62,3,4))))</f>
        <v>0</v>
      </c>
      <c r="G64" s="380"/>
      <c r="H64" s="380">
        <f>'Pathway definition and results'!$E47</f>
        <v>0</v>
      </c>
      <c r="I64" s="380">
        <f>'Pathway definition and results'!$F47</f>
        <v>0</v>
      </c>
      <c r="J64" s="380">
        <f>'Pathway definition and results'!$G47</f>
        <v>0</v>
      </c>
      <c r="K64" s="381">
        <f>'Pathway definition and results'!$H47</f>
        <v>0</v>
      </c>
      <c r="L64" s="306"/>
      <c r="M64" s="288"/>
      <c r="N64" s="289"/>
    </row>
    <row r="65" spans="1:14" x14ac:dyDescent="0.2">
      <c r="A65" s="283"/>
      <c r="C65" s="287"/>
      <c r="D65" s="338" t="s">
        <v>82</v>
      </c>
      <c r="E65" s="379"/>
      <c r="F65" s="379" cm="1">
        <f t="array" ref="F65">INDEX($H$63:$K$74,3,IF($F$62=$H$62,1,IF($F$62=$I$62,2,IF($F$62=$J$62,3,4))))</f>
        <v>0</v>
      </c>
      <c r="G65" s="380"/>
      <c r="H65" s="380">
        <f>'Pathway definition and results'!$E48</f>
        <v>0</v>
      </c>
      <c r="I65" s="380">
        <f>'Pathway definition and results'!$F48</f>
        <v>0</v>
      </c>
      <c r="J65" s="380">
        <f>'Pathway definition and results'!$G48</f>
        <v>0</v>
      </c>
      <c r="K65" s="381">
        <f>'Pathway definition and results'!$H48</f>
        <v>0</v>
      </c>
      <c r="L65" s="306"/>
      <c r="M65" s="288"/>
      <c r="N65" s="289"/>
    </row>
    <row r="66" spans="1:14" x14ac:dyDescent="0.2">
      <c r="A66" s="283"/>
      <c r="C66" s="287"/>
      <c r="D66" s="338" t="s">
        <v>83</v>
      </c>
      <c r="E66" s="379"/>
      <c r="F66" s="379" cm="1">
        <f t="array" ref="F66">INDEX($H$63:$K$74,4,IF($F$62=$H$62,1,IF($F$62=$I$62,2,IF($F$62=$J$62,3,4))))</f>
        <v>0</v>
      </c>
      <c r="G66" s="380"/>
      <c r="H66" s="380">
        <f>'Pathway definition and results'!$E49</f>
        <v>0</v>
      </c>
      <c r="I66" s="380">
        <f>'Pathway definition and results'!$F49</f>
        <v>0</v>
      </c>
      <c r="J66" s="380">
        <f>'Pathway definition and results'!$G49</f>
        <v>0</v>
      </c>
      <c r="K66" s="381">
        <f>'Pathway definition and results'!$H49</f>
        <v>0</v>
      </c>
      <c r="L66" s="306"/>
      <c r="M66" s="288"/>
      <c r="N66" s="289"/>
    </row>
    <row r="67" spans="1:14" x14ac:dyDescent="0.2">
      <c r="A67" s="283"/>
      <c r="C67" s="287"/>
      <c r="D67" s="338" t="s">
        <v>84</v>
      </c>
      <c r="E67" s="342"/>
      <c r="F67" s="342" cm="1">
        <f t="array" ref="F67">INDEX($H$63:$K$74,5,IF($F$62=$H$62,1,IF($F$62=$I$62,2,IF($F$62=$J$62,3,4))))</f>
        <v>0</v>
      </c>
      <c r="G67" s="343"/>
      <c r="H67" s="343">
        <f>'Pathway definition and results'!$E50</f>
        <v>0</v>
      </c>
      <c r="I67" s="343">
        <f>'Pathway definition and results'!$F50</f>
        <v>0</v>
      </c>
      <c r="J67" s="343">
        <f>'Pathway definition and results'!$G50</f>
        <v>0</v>
      </c>
      <c r="K67" s="344">
        <f>'Pathway definition and results'!$H50</f>
        <v>0</v>
      </c>
      <c r="L67" s="307"/>
      <c r="M67" s="288"/>
      <c r="N67" s="289"/>
    </row>
    <row r="68" spans="1:14" x14ac:dyDescent="0.2">
      <c r="A68" s="283"/>
      <c r="C68" s="287"/>
      <c r="D68" s="338" t="s">
        <v>85</v>
      </c>
      <c r="E68" s="339"/>
      <c r="F68" s="339" cm="1">
        <f t="array" ref="F68">INDEX($H$63:$K$74,6,IF($F$62=$H$62,1,IF($F$62=$I$62,2,IF($F$62=$J$62,3,4))))</f>
        <v>0</v>
      </c>
      <c r="G68" s="340"/>
      <c r="H68" s="340">
        <f>'Pathway definition and results'!$E51</f>
        <v>0</v>
      </c>
      <c r="I68" s="340">
        <f>'Pathway definition and results'!$F51</f>
        <v>0</v>
      </c>
      <c r="J68" s="340">
        <f>'Pathway definition and results'!$G51</f>
        <v>0</v>
      </c>
      <c r="K68" s="341">
        <f>'Pathway definition and results'!$H51</f>
        <v>0</v>
      </c>
      <c r="L68" s="308"/>
      <c r="M68" s="288"/>
      <c r="N68" s="289"/>
    </row>
    <row r="69" spans="1:14" x14ac:dyDescent="0.2">
      <c r="A69" s="283"/>
      <c r="C69" s="287"/>
      <c r="D69" s="338" t="s">
        <v>86</v>
      </c>
      <c r="E69" s="339"/>
      <c r="F69" s="339" cm="1">
        <f t="array" ref="F69">INDEX($H$63:$K$74,7,IF($F$62=$H$62,1,IF($F$62=$I$62,2,IF($F$62=$J$62,3,4))))</f>
        <v>0</v>
      </c>
      <c r="G69" s="340"/>
      <c r="H69" s="340">
        <f>'Pathway definition and results'!$E52</f>
        <v>0</v>
      </c>
      <c r="I69" s="340">
        <f>'Pathway definition and results'!$F52</f>
        <v>0</v>
      </c>
      <c r="J69" s="340">
        <f>'Pathway definition and results'!$G52</f>
        <v>0</v>
      </c>
      <c r="K69" s="341">
        <f>'Pathway definition and results'!$H52</f>
        <v>0</v>
      </c>
      <c r="L69" s="308"/>
      <c r="M69" s="288"/>
      <c r="N69" s="289"/>
    </row>
    <row r="70" spans="1:14" x14ac:dyDescent="0.2">
      <c r="A70" s="283"/>
      <c r="C70" s="287"/>
      <c r="D70" s="338" t="s">
        <v>78</v>
      </c>
      <c r="E70" s="339"/>
      <c r="F70" s="339" cm="1">
        <f t="array" ref="F70">INDEX($H$63:$K$74,8,IF($F$62=$H$62,1,IF($F$62=$I$62,2,IF($F$62=$J$62,3,4))))</f>
        <v>0</v>
      </c>
      <c r="G70" s="340"/>
      <c r="H70" s="340">
        <f>'Pathway definition and results'!$E53</f>
        <v>0</v>
      </c>
      <c r="I70" s="340">
        <f>'Pathway definition and results'!$F53</f>
        <v>0</v>
      </c>
      <c r="J70" s="340">
        <f>'Pathway definition and results'!$G53</f>
        <v>0</v>
      </c>
      <c r="K70" s="341">
        <f>'Pathway definition and results'!$H53</f>
        <v>0</v>
      </c>
      <c r="L70" s="308"/>
      <c r="M70" s="288"/>
      <c r="N70" s="289"/>
    </row>
    <row r="71" spans="1:14" x14ac:dyDescent="0.2">
      <c r="A71" s="283"/>
      <c r="C71" s="287"/>
      <c r="D71" s="338" t="str">
        <f>"Levelized cost of product"  &amp; " " &amp; "(" &amp;'1. Pathway 1'!C140 &amp; ")"</f>
        <v>Levelized cost of product (€/ton)</v>
      </c>
      <c r="E71" s="339"/>
      <c r="F71" s="339" cm="1">
        <f t="array" ref="F71">INDEX($H$63:$K$74,9,IF($F$62=$H$62,1,IF($F$62=$I$62,2,IF($F$62=$J$62,3,4))))</f>
        <v>0</v>
      </c>
      <c r="G71" s="340"/>
      <c r="H71" s="340">
        <f>'Pathway definition and results'!$E54</f>
        <v>0</v>
      </c>
      <c r="I71" s="340">
        <f>'Pathway definition and results'!$F54</f>
        <v>0</v>
      </c>
      <c r="J71" s="340">
        <f>'Pathway definition and results'!$G54</f>
        <v>0</v>
      </c>
      <c r="K71" s="341">
        <f>'Pathway definition and results'!$H54</f>
        <v>0</v>
      </c>
      <c r="L71" s="308"/>
      <c r="M71" s="288"/>
      <c r="N71" s="289"/>
    </row>
    <row r="72" spans="1:14" x14ac:dyDescent="0.2">
      <c r="A72" s="283"/>
      <c r="C72" s="287"/>
      <c r="D72" s="345" t="str">
        <f>"CAPEX" &amp; " " &amp; "(" &amp;'1. Pathway 1'!C141 &amp; ")"</f>
        <v>CAPEX (€/ton)</v>
      </c>
      <c r="E72" s="339"/>
      <c r="F72" s="339" cm="1">
        <f t="array" ref="F72">INDEX($H$63:$K$74,10,IF($F$62=$H$62,1,IF($F$62=$I$62,2,IF($F$62=$J$62,3,4))))</f>
        <v>0</v>
      </c>
      <c r="G72" s="340"/>
      <c r="H72" s="340">
        <f>'Pathway definition and results'!$E55</f>
        <v>0</v>
      </c>
      <c r="I72" s="340">
        <f>'Pathway definition and results'!$F55</f>
        <v>0</v>
      </c>
      <c r="J72" s="340">
        <f>'Pathway definition and results'!$G55</f>
        <v>0</v>
      </c>
      <c r="K72" s="341">
        <f>'Pathway definition and results'!$H55</f>
        <v>0</v>
      </c>
      <c r="L72" s="308"/>
      <c r="M72" s="288"/>
      <c r="N72" s="289"/>
    </row>
    <row r="73" spans="1:14" x14ac:dyDescent="0.2">
      <c r="A73" s="283"/>
      <c r="C73" s="287"/>
      <c r="D73" s="345" t="str">
        <f>"OPEX" &amp; " " &amp; "(" &amp;'1. Pathway 1'!C142 &amp; ")"</f>
        <v>OPEX (€/ton)</v>
      </c>
      <c r="E73" s="339"/>
      <c r="F73" s="339" cm="1">
        <f t="array" ref="F73">INDEX($H$63:$K$74,11,IF($F$62=$H$62,1,IF($F$62=$I$62,2,IF($F$62=$J$62,3,4))))</f>
        <v>0</v>
      </c>
      <c r="G73" s="340"/>
      <c r="H73" s="340">
        <f>'Pathway definition and results'!$E56</f>
        <v>0</v>
      </c>
      <c r="I73" s="340">
        <f>'Pathway definition and results'!$F56</f>
        <v>0</v>
      </c>
      <c r="J73" s="340">
        <f>'Pathway definition and results'!$G56</f>
        <v>0</v>
      </c>
      <c r="K73" s="341">
        <f>'Pathway definition and results'!$H56</f>
        <v>0</v>
      </c>
      <c r="L73" s="308"/>
      <c r="M73" s="288"/>
      <c r="N73" s="289"/>
    </row>
    <row r="74" spans="1:14" x14ac:dyDescent="0.2">
      <c r="A74" s="283"/>
      <c r="C74" s="287"/>
      <c r="D74" s="346" t="str">
        <f>"Targeted product current market price" &amp; " " &amp; "(" &amp;'Data - economic'!E73 &amp; ")"</f>
        <v>Targeted product current market price (€/ton)</v>
      </c>
      <c r="E74" s="347"/>
      <c r="F74" s="347" cm="1">
        <f t="array" ref="F74">INDEX($H$63:$K$74,12,IF($F$62=$H$62,1,IF($F$62=$I$62,2,IF($F$62=$J$62,3,4))))</f>
        <v>0</v>
      </c>
      <c r="G74" s="348"/>
      <c r="H74" s="348">
        <f>'Data - economic'!I73</f>
        <v>0</v>
      </c>
      <c r="I74" s="348">
        <f>'Data - economic'!J73</f>
        <v>0</v>
      </c>
      <c r="J74" s="348">
        <f>'Data - economic'!K73</f>
        <v>0</v>
      </c>
      <c r="K74" s="349">
        <f>'Data - economic'!L73</f>
        <v>0</v>
      </c>
      <c r="L74" s="308"/>
      <c r="M74" s="288"/>
      <c r="N74" s="289"/>
    </row>
    <row r="75" spans="1:14" ht="12" thickBot="1" x14ac:dyDescent="0.25">
      <c r="A75" s="283"/>
      <c r="C75" s="290"/>
      <c r="D75" s="291"/>
      <c r="E75" s="291"/>
      <c r="F75" s="291"/>
      <c r="G75" s="291"/>
      <c r="H75" s="291"/>
      <c r="I75" s="291"/>
      <c r="J75" s="291"/>
      <c r="K75" s="291"/>
      <c r="L75" s="291"/>
      <c r="M75" s="291"/>
      <c r="N75" s="292"/>
    </row>
    <row r="76" spans="1:14" x14ac:dyDescent="0.2">
      <c r="A76" s="283"/>
    </row>
    <row r="77" spans="1:14" ht="12" thickBot="1" x14ac:dyDescent="0.25">
      <c r="A77" s="283"/>
    </row>
    <row r="78" spans="1:14" ht="15" customHeight="1" x14ac:dyDescent="0.2">
      <c r="A78" s="283"/>
      <c r="C78" s="302" t="s">
        <v>87</v>
      </c>
      <c r="D78" s="302"/>
      <c r="E78" s="293"/>
      <c r="F78" s="293"/>
      <c r="G78" s="293"/>
      <c r="H78" s="293"/>
      <c r="I78" s="293"/>
      <c r="J78" s="293"/>
      <c r="K78" s="293"/>
      <c r="L78" s="293"/>
      <c r="M78" s="293"/>
      <c r="N78" s="294"/>
    </row>
    <row r="79" spans="1:14" x14ac:dyDescent="0.2">
      <c r="A79" s="283"/>
      <c r="C79" s="287"/>
      <c r="D79" s="288"/>
      <c r="E79" s="288"/>
      <c r="F79" s="288"/>
      <c r="G79" s="288"/>
      <c r="H79" s="288"/>
      <c r="I79" s="288"/>
      <c r="J79" s="288"/>
      <c r="K79" s="288"/>
      <c r="L79" s="288"/>
      <c r="M79" s="288"/>
      <c r="N79" s="289"/>
    </row>
    <row r="80" spans="1:14" ht="11.25" customHeight="1" x14ac:dyDescent="0.2">
      <c r="A80" s="283"/>
      <c r="C80" s="287"/>
      <c r="D80" s="401">
        <f>IFERROR($F$99,0)</f>
        <v>0</v>
      </c>
      <c r="E80" s="288"/>
      <c r="F80" s="401">
        <f>IFERROR($F$101,0)</f>
        <v>0</v>
      </c>
      <c r="G80" s="401"/>
      <c r="H80" s="401"/>
      <c r="I80" s="288"/>
      <c r="J80" s="288"/>
      <c r="K80" s="288"/>
      <c r="L80" s="288"/>
      <c r="M80" s="288"/>
      <c r="N80" s="289"/>
    </row>
    <row r="81" spans="1:17" ht="11.25" customHeight="1" x14ac:dyDescent="0.2">
      <c r="A81" s="283"/>
      <c r="C81" s="287"/>
      <c r="D81" s="401"/>
      <c r="E81" s="288"/>
      <c r="F81" s="401"/>
      <c r="G81" s="401"/>
      <c r="H81" s="401"/>
      <c r="I81" s="288"/>
      <c r="J81" s="288"/>
      <c r="K81" s="288"/>
      <c r="L81" s="288"/>
      <c r="M81" s="288"/>
      <c r="N81" s="289"/>
    </row>
    <row r="82" spans="1:17" ht="11.25" customHeight="1" x14ac:dyDescent="0.2">
      <c r="A82" s="283"/>
      <c r="C82" s="287"/>
      <c r="D82" s="401"/>
      <c r="E82" s="288"/>
      <c r="F82" s="401"/>
      <c r="G82" s="401"/>
      <c r="H82" s="401"/>
      <c r="I82" s="288"/>
      <c r="J82" s="288"/>
      <c r="K82" s="288"/>
      <c r="L82" s="288"/>
      <c r="M82" s="288"/>
      <c r="N82" s="289"/>
    </row>
    <row r="83" spans="1:17" ht="11.25" customHeight="1" x14ac:dyDescent="0.2">
      <c r="A83" s="283"/>
      <c r="C83" s="287"/>
      <c r="D83" s="401"/>
      <c r="E83" s="288"/>
      <c r="F83" s="401"/>
      <c r="G83" s="401"/>
      <c r="H83" s="401"/>
      <c r="I83" s="288"/>
      <c r="J83" s="288"/>
      <c r="K83" s="288"/>
      <c r="L83" s="288"/>
      <c r="M83" s="288"/>
      <c r="N83" s="289"/>
    </row>
    <row r="84" spans="1:17" ht="11.25" customHeight="1" x14ac:dyDescent="0.2">
      <c r="A84" s="283"/>
      <c r="C84" s="287"/>
      <c r="D84" s="401"/>
      <c r="E84" s="288"/>
      <c r="F84" s="401"/>
      <c r="G84" s="401"/>
      <c r="H84" s="401"/>
      <c r="I84" s="288"/>
      <c r="J84" s="288"/>
      <c r="K84" s="288"/>
      <c r="L84" s="288"/>
      <c r="M84" s="288"/>
      <c r="N84" s="289"/>
    </row>
    <row r="85" spans="1:17" ht="11.25" customHeight="1" x14ac:dyDescent="0.2">
      <c r="A85" s="283"/>
      <c r="C85" s="287"/>
      <c r="D85" s="390"/>
      <c r="E85" s="288"/>
      <c r="F85" s="390"/>
      <c r="G85" s="390"/>
      <c r="H85" s="390"/>
      <c r="I85" s="288"/>
      <c r="J85" s="288"/>
      <c r="K85" s="288"/>
      <c r="L85" s="288"/>
      <c r="M85" s="288"/>
      <c r="N85" s="289"/>
    </row>
    <row r="86" spans="1:17" x14ac:dyDescent="0.2">
      <c r="A86" s="283"/>
      <c r="C86" s="287"/>
      <c r="D86" s="391" t="str">
        <f>"Net climate change impact (in ton CO2eq/" &amp; IF(K10="","FU",K10) &amp;")"</f>
        <v>Net climate change impact (in ton CO2eq/FU)</v>
      </c>
      <c r="E86" s="288"/>
      <c r="F86" s="403" t="str">
        <f>"CO2eq avoided compared to benchmark (in ton CO2eq/" &amp; IF(K10="","FU",K10) &amp;")"</f>
        <v>CO2eq avoided compared to benchmark (in ton CO2eq/FU)</v>
      </c>
      <c r="G86" s="403"/>
      <c r="H86" s="403"/>
      <c r="I86" s="288"/>
      <c r="J86" s="288"/>
      <c r="K86" s="288"/>
      <c r="L86" s="288"/>
      <c r="M86" s="288"/>
      <c r="N86" s="289"/>
    </row>
    <row r="87" spans="1:17" ht="11.25" customHeight="1" x14ac:dyDescent="0.2">
      <c r="A87" s="283"/>
      <c r="C87" s="287"/>
      <c r="D87" s="309"/>
      <c r="E87" s="288"/>
      <c r="F87" s="296"/>
      <c r="G87" s="297"/>
      <c r="I87" s="288"/>
      <c r="J87" s="288"/>
      <c r="K87" s="288"/>
      <c r="L87" s="288"/>
      <c r="M87" s="288"/>
      <c r="N87" s="289"/>
    </row>
    <row r="88" spans="1:17" ht="11.25" customHeight="1" x14ac:dyDescent="0.2">
      <c r="A88" s="283"/>
      <c r="C88" s="287"/>
      <c r="D88" s="402" t="str">
        <f>"The net climate change impact (in ton CO2eq/" &amp; IF(K10="","FU",K10) &amp;") for " &amp; MID($F$98,4,9) &amp; " is " &amp; TEXT($D$80,"#.##0,00") &amp; " ton CO2eq/" &amp; IF(K10="","FU",K10) &amp; ". The net climate change impact is the potential impact of all greenhouse gas (GHG) emissions emitted during the entire lifecycle of the product or service." &amp; " The yearly average potential impact is " &amp; TEXT(F100,"#.##0,00") &amp; " ton CO2eq/yr."</f>
        <v>The net climate change impact (in ton CO2eq/FU) for Pathway 1 is .000 ton CO2eq/FU. The net climate change impact is the potential impact of all greenhouse gas (GHG) emissions emitted during the entire lifecycle of the product or service. The yearly average potential impact is .000 ton CO2eq/yr.</v>
      </c>
      <c r="E88" s="288"/>
      <c r="F88" s="402" t="str">
        <f>"The CO2eq avoided compared to the benchmark (in ton CO2eq/" &amp; IF(K10="","FU",K10) &amp;") for " &amp; MID($F$98,4,9) &amp; " is " &amp; TEXT($F$80,"#.##0,00") &amp; " ton CO2eq/" &amp; IF(K10="","FU",K10) &amp; ". This represents the difference between the benchmark process inserted in the 'Technology' tab and the net climate change impact of the innovation which is included in the dashboard." &amp; " The yearly average CO2eq avoided compared to the benchmark is " &amp; TEXT(F102,"#.##0,00") &amp; " ton CO2eq/yr."  &amp; " " &amp; "A negative value means that the benchmark has a lower climate change impact compared to the innovation"</f>
        <v>The CO2eq avoided compared to the benchmark (in ton CO2eq/FU) for Pathway 1 is .000 ton CO2eq/FU. This represents the difference between the benchmark process inserted in the 'Technology' tab and the net climate change impact of the innovation which is included in the dashboard. The yearly average CO2eq avoided compared to the benchmark is .000 ton CO2eq/yr. A negative value means that the benchmark has a lower climate change impact compared to the innovation</v>
      </c>
      <c r="G88" s="402"/>
      <c r="H88" s="402"/>
      <c r="I88" s="288"/>
      <c r="J88" s="288"/>
      <c r="K88" s="288"/>
      <c r="L88" s="288"/>
      <c r="M88" s="288"/>
      <c r="N88" s="289"/>
      <c r="O88" s="296"/>
      <c r="P88" s="296"/>
      <c r="Q88" s="296"/>
    </row>
    <row r="89" spans="1:17" x14ac:dyDescent="0.2">
      <c r="A89" s="283"/>
      <c r="C89" s="287"/>
      <c r="D89" s="402"/>
      <c r="E89" s="288"/>
      <c r="F89" s="402"/>
      <c r="G89" s="402"/>
      <c r="H89" s="402"/>
      <c r="I89" s="288"/>
      <c r="J89" s="288"/>
      <c r="K89" s="288"/>
      <c r="L89" s="288"/>
      <c r="M89" s="288"/>
      <c r="N89" s="289"/>
      <c r="O89" s="296"/>
      <c r="P89" s="296"/>
      <c r="Q89" s="296"/>
    </row>
    <row r="90" spans="1:17" x14ac:dyDescent="0.2">
      <c r="A90" s="283"/>
      <c r="C90" s="287"/>
      <c r="D90" s="402"/>
      <c r="E90" s="288"/>
      <c r="F90" s="402"/>
      <c r="G90" s="402"/>
      <c r="H90" s="402"/>
      <c r="I90" s="288"/>
      <c r="J90" s="288"/>
      <c r="K90" s="288"/>
      <c r="L90" s="288"/>
      <c r="M90" s="288"/>
      <c r="N90" s="289"/>
      <c r="P90" s="296"/>
    </row>
    <row r="91" spans="1:17" ht="11.25" customHeight="1" x14ac:dyDescent="0.2">
      <c r="A91" s="283"/>
      <c r="C91" s="287"/>
      <c r="D91" s="402"/>
      <c r="E91" s="288"/>
      <c r="F91" s="402"/>
      <c r="G91" s="402"/>
      <c r="H91" s="402"/>
      <c r="I91" s="288"/>
      <c r="J91" s="288"/>
      <c r="K91" s="288"/>
      <c r="L91" s="288"/>
      <c r="M91" s="288"/>
      <c r="N91" s="289"/>
    </row>
    <row r="92" spans="1:17" ht="51.6" customHeight="1" x14ac:dyDescent="0.2">
      <c r="A92" s="283"/>
      <c r="C92" s="287"/>
      <c r="D92" s="402"/>
      <c r="E92" s="288"/>
      <c r="F92" s="402"/>
      <c r="G92" s="402"/>
      <c r="H92" s="402"/>
      <c r="I92" s="288"/>
      <c r="J92" s="288"/>
      <c r="K92" s="288"/>
      <c r="L92" s="288"/>
      <c r="M92" s="288"/>
      <c r="N92" s="289"/>
    </row>
    <row r="93" spans="1:17" ht="12" thickBot="1" x14ac:dyDescent="0.25">
      <c r="A93" s="283"/>
      <c r="C93" s="290"/>
      <c r="D93" s="291"/>
      <c r="E93" s="291"/>
      <c r="F93" s="291"/>
      <c r="G93" s="291"/>
      <c r="H93" s="291"/>
      <c r="I93" s="291"/>
      <c r="J93" s="291"/>
      <c r="K93" s="291"/>
      <c r="L93" s="291"/>
      <c r="M93" s="291"/>
      <c r="N93" s="292"/>
    </row>
    <row r="94" spans="1:17" x14ac:dyDescent="0.2">
      <c r="A94" s="283"/>
    </row>
    <row r="95" spans="1:17" ht="12" thickBot="1" x14ac:dyDescent="0.25">
      <c r="A95" s="283"/>
    </row>
    <row r="96" spans="1:17" x14ac:dyDescent="0.2">
      <c r="A96" s="283"/>
      <c r="C96" s="302" t="s">
        <v>88</v>
      </c>
      <c r="D96" s="293"/>
      <c r="E96" s="293"/>
      <c r="F96" s="293"/>
      <c r="G96" s="293"/>
      <c r="H96" s="293"/>
      <c r="I96" s="293"/>
      <c r="J96" s="293"/>
      <c r="K96" s="293"/>
      <c r="L96" s="293"/>
      <c r="M96" s="293"/>
      <c r="N96" s="294"/>
    </row>
    <row r="97" spans="1:14" x14ac:dyDescent="0.2">
      <c r="A97" s="283"/>
      <c r="C97" s="287"/>
      <c r="D97" s="288"/>
      <c r="E97" s="288"/>
      <c r="F97" s="288"/>
      <c r="G97" s="288"/>
      <c r="H97" s="288"/>
      <c r="I97" s="288"/>
      <c r="J97" s="288"/>
      <c r="K97" s="288"/>
      <c r="L97" s="288"/>
      <c r="M97" s="288"/>
      <c r="N97" s="289"/>
    </row>
    <row r="98" spans="1:14" x14ac:dyDescent="0.2">
      <c r="A98" s="283"/>
      <c r="C98" s="287"/>
      <c r="D98" s="350" t="s">
        <v>87</v>
      </c>
      <c r="E98" s="351"/>
      <c r="F98" s="351" t="str">
        <f>$D$25</f>
        <v xml:space="preserve">1. Pathway 1 </v>
      </c>
      <c r="G98" s="328"/>
      <c r="H98" s="328" t="str">
        <f>'Pathway definition and results'!$E$28</f>
        <v xml:space="preserve">1. Pathway 1 </v>
      </c>
      <c r="I98" s="328" t="str">
        <f>'Pathway definition and results'!$F$28</f>
        <v>2. Pathway 2</v>
      </c>
      <c r="J98" s="328" t="str">
        <f>'Pathway definition and results'!$G$28</f>
        <v>3. Pathway 3</v>
      </c>
      <c r="K98" s="329" t="str">
        <f>'Pathway definition and results'!$H$28</f>
        <v xml:space="preserve">4. Pathway 4 </v>
      </c>
      <c r="L98" s="300"/>
      <c r="M98" s="288"/>
      <c r="N98" s="289"/>
    </row>
    <row r="99" spans="1:14" x14ac:dyDescent="0.2">
      <c r="A99" s="283"/>
      <c r="C99" s="287"/>
      <c r="D99" s="352" t="str">
        <f>"Net climate change impact (ton CO2eq/" &amp; IF(K10="","FU",K10) &amp;")"</f>
        <v>Net climate change impact (ton CO2eq/FU)</v>
      </c>
      <c r="E99" s="353"/>
      <c r="F99" s="353" cm="1">
        <f t="array" ref="F99">INDEX($H$99:$K$102,1,IF($F$98=$H$98,1,IF($F$98=$I$98,2,IF($F$98=$J$98,3,4))))</f>
        <v>0</v>
      </c>
      <c r="G99" s="336"/>
      <c r="H99" s="336">
        <f>'Pathway definition and results'!$E57</f>
        <v>0</v>
      </c>
      <c r="I99" s="336">
        <f>'Pathway definition and results'!$F57</f>
        <v>0</v>
      </c>
      <c r="J99" s="336">
        <f>'Pathway definition and results'!$G57</f>
        <v>0</v>
      </c>
      <c r="K99" s="337">
        <f>'Pathway definition and results'!$H57</f>
        <v>0</v>
      </c>
      <c r="L99" s="306"/>
      <c r="M99" s="288"/>
      <c r="N99" s="289"/>
    </row>
    <row r="100" spans="1:14" x14ac:dyDescent="0.2">
      <c r="A100" s="283"/>
      <c r="C100" s="287"/>
      <c r="D100" s="352" t="s">
        <v>89</v>
      </c>
      <c r="E100" s="353"/>
      <c r="F100" s="353" cm="1">
        <f t="array" ref="F100">INDEX($H$99:$K$102,2,IF($F$98=$H$98,1,IF($F$98=$I$98,2,IF($F$98=$J$98,3,4))))</f>
        <v>0</v>
      </c>
      <c r="G100" s="340"/>
      <c r="H100" s="340">
        <f>'Pathway definition and results'!$E58</f>
        <v>0</v>
      </c>
      <c r="I100" s="340">
        <f>'Pathway definition and results'!$F58</f>
        <v>0</v>
      </c>
      <c r="J100" s="340">
        <f>'Pathway definition and results'!$G58</f>
        <v>0</v>
      </c>
      <c r="K100" s="341">
        <f>'Pathway definition and results'!$H58</f>
        <v>0</v>
      </c>
      <c r="L100" s="306"/>
      <c r="M100" s="288"/>
      <c r="N100" s="289"/>
    </row>
    <row r="101" spans="1:14" x14ac:dyDescent="0.2">
      <c r="A101" s="283"/>
      <c r="C101" s="287"/>
      <c r="D101" s="352" t="str">
        <f>"CO2eq avoided compared to benchmark (ton CO2eq/" &amp; IF(K10="","FU",K10) &amp;")"</f>
        <v>CO2eq avoided compared to benchmark (ton CO2eq/FU)</v>
      </c>
      <c r="E101" s="353"/>
      <c r="F101" s="353" cm="1">
        <f t="array" ref="F101">INDEX($H$99:$K$102,3,IF($F$98=$H$98,1,IF($F$98=$I$98,2,IF($F$98=$J$98,3,4))))</f>
        <v>0</v>
      </c>
      <c r="G101" s="340"/>
      <c r="H101" s="340">
        <f>'Pathway definition and results'!$E59</f>
        <v>0</v>
      </c>
      <c r="I101" s="340">
        <f>'Pathway definition and results'!$F59</f>
        <v>0</v>
      </c>
      <c r="J101" s="340">
        <f>'Pathway definition and results'!$G59</f>
        <v>0</v>
      </c>
      <c r="K101" s="341">
        <f>'Pathway definition and results'!$H59</f>
        <v>0</v>
      </c>
      <c r="L101" s="306"/>
      <c r="M101" s="288"/>
      <c r="N101" s="289"/>
    </row>
    <row r="102" spans="1:14" x14ac:dyDescent="0.2">
      <c r="A102" s="283"/>
      <c r="C102" s="287"/>
      <c r="D102" s="354" t="s">
        <v>90</v>
      </c>
      <c r="E102" s="355"/>
      <c r="F102" s="355" cm="1">
        <f t="array" ref="F102">INDEX($H$99:$K$102,4,IF($F$98=$H$98,1,IF($F$98=$I$98,2,IF($F$98=$J$98,3,4))))</f>
        <v>0</v>
      </c>
      <c r="G102" s="348"/>
      <c r="H102" s="348">
        <f>'Pathway definition and results'!$E60</f>
        <v>0</v>
      </c>
      <c r="I102" s="348">
        <f>'Pathway definition and results'!$F60</f>
        <v>0</v>
      </c>
      <c r="J102" s="348">
        <f>'Pathway definition and results'!$G60</f>
        <v>0</v>
      </c>
      <c r="K102" s="349">
        <f>'Pathway definition and results'!$H60</f>
        <v>0</v>
      </c>
      <c r="L102" s="306"/>
      <c r="M102" s="288"/>
      <c r="N102" s="289"/>
    </row>
    <row r="103" spans="1:14" ht="12" thickBot="1" x14ac:dyDescent="0.25">
      <c r="A103" s="283"/>
      <c r="C103" s="290"/>
      <c r="D103" s="291"/>
      <c r="E103" s="310"/>
      <c r="F103" s="310"/>
      <c r="G103" s="310"/>
      <c r="H103" s="310"/>
      <c r="I103" s="310"/>
      <c r="J103" s="310"/>
      <c r="K103" s="310"/>
      <c r="L103" s="310"/>
      <c r="M103" s="291"/>
      <c r="N103" s="292"/>
    </row>
    <row r="104" spans="1:14" x14ac:dyDescent="0.2">
      <c r="A104" s="283"/>
    </row>
    <row r="105" spans="1:14" ht="12" thickBot="1" x14ac:dyDescent="0.25">
      <c r="A105" s="283"/>
    </row>
    <row r="106" spans="1:14" x14ac:dyDescent="0.2">
      <c r="A106" s="283"/>
      <c r="C106" s="302" t="s">
        <v>91</v>
      </c>
      <c r="D106" s="302"/>
      <c r="E106" s="293"/>
      <c r="F106" s="293"/>
      <c r="G106" s="293"/>
      <c r="H106" s="293"/>
      <c r="I106" s="293"/>
      <c r="J106" s="293"/>
      <c r="K106" s="293"/>
      <c r="L106" s="293"/>
      <c r="M106" s="293"/>
      <c r="N106" s="294"/>
    </row>
    <row r="107" spans="1:14" x14ac:dyDescent="0.2">
      <c r="A107" s="283"/>
      <c r="C107" s="287"/>
      <c r="D107" s="288"/>
      <c r="E107" s="288"/>
      <c r="F107" s="288"/>
      <c r="G107" s="288"/>
      <c r="H107" s="288"/>
      <c r="I107" s="288"/>
      <c r="J107" s="288"/>
      <c r="K107" s="288"/>
      <c r="L107" s="288"/>
      <c r="M107" s="288"/>
      <c r="N107" s="289"/>
    </row>
    <row r="108" spans="1:14" ht="11.25" customHeight="1" x14ac:dyDescent="0.2">
      <c r="A108" s="283"/>
      <c r="C108" s="287"/>
      <c r="D108" s="401">
        <f>IFERROR($F$127,0)</f>
        <v>0</v>
      </c>
      <c r="E108" s="288"/>
      <c r="F108" s="401">
        <f>IFERROR($F$128,0)</f>
        <v>0</v>
      </c>
      <c r="G108" s="401"/>
      <c r="H108" s="401"/>
      <c r="I108" s="288"/>
      <c r="J108" s="288"/>
      <c r="K108" s="288"/>
      <c r="L108" s="288"/>
      <c r="M108" s="288"/>
      <c r="N108" s="289"/>
    </row>
    <row r="109" spans="1:14" ht="11.25" customHeight="1" x14ac:dyDescent="0.2">
      <c r="A109" s="283"/>
      <c r="C109" s="287"/>
      <c r="D109" s="401"/>
      <c r="E109" s="288"/>
      <c r="F109" s="401"/>
      <c r="G109" s="401"/>
      <c r="H109" s="401"/>
      <c r="I109" s="288"/>
      <c r="J109" s="288"/>
      <c r="K109" s="288"/>
      <c r="L109" s="288"/>
      <c r="M109" s="288"/>
      <c r="N109" s="289"/>
    </row>
    <row r="110" spans="1:14" ht="11.25" customHeight="1" x14ac:dyDescent="0.2">
      <c r="A110" s="283"/>
      <c r="C110" s="287"/>
      <c r="D110" s="401"/>
      <c r="E110" s="288"/>
      <c r="F110" s="401"/>
      <c r="G110" s="401"/>
      <c r="H110" s="401"/>
      <c r="I110" s="288"/>
      <c r="J110" s="288"/>
      <c r="K110" s="288"/>
      <c r="L110" s="288"/>
      <c r="M110" s="288"/>
      <c r="N110" s="289"/>
    </row>
    <row r="111" spans="1:14" ht="11.25" customHeight="1" x14ac:dyDescent="0.2">
      <c r="A111" s="283"/>
      <c r="C111" s="287"/>
      <c r="D111" s="401"/>
      <c r="E111" s="288"/>
      <c r="F111" s="401"/>
      <c r="G111" s="401"/>
      <c r="H111" s="401"/>
      <c r="I111" s="288"/>
      <c r="J111" s="288"/>
      <c r="K111" s="288"/>
      <c r="L111" s="288"/>
      <c r="M111" s="288"/>
      <c r="N111" s="289"/>
    </row>
    <row r="112" spans="1:14" ht="11.25" customHeight="1" x14ac:dyDescent="0.2">
      <c r="A112" s="283"/>
      <c r="C112" s="287"/>
      <c r="D112" s="401"/>
      <c r="E112" s="288"/>
      <c r="F112" s="401"/>
      <c r="G112" s="401"/>
      <c r="H112" s="401"/>
      <c r="I112" s="288"/>
      <c r="J112" s="288"/>
      <c r="K112" s="288"/>
      <c r="L112" s="288"/>
      <c r="M112" s="288"/>
      <c r="N112" s="289"/>
    </row>
    <row r="113" spans="1:14" ht="11.25" customHeight="1" x14ac:dyDescent="0.2">
      <c r="A113" s="283"/>
      <c r="C113" s="287"/>
      <c r="D113" s="390"/>
      <c r="E113" s="288"/>
      <c r="F113" s="390"/>
      <c r="G113" s="390"/>
      <c r="H113" s="390"/>
      <c r="I113" s="288"/>
      <c r="J113" s="288"/>
      <c r="K113" s="288"/>
      <c r="L113" s="288"/>
      <c r="M113" s="288"/>
      <c r="N113" s="289"/>
    </row>
    <row r="114" spans="1:14" x14ac:dyDescent="0.2">
      <c r="A114" s="283"/>
      <c r="C114" s="287"/>
      <c r="D114" s="391" t="s">
        <v>92</v>
      </c>
      <c r="E114" s="288"/>
      <c r="F114" s="403" t="s">
        <v>93</v>
      </c>
      <c r="G114" s="403"/>
      <c r="H114" s="403"/>
      <c r="I114" s="288"/>
      <c r="J114" s="288"/>
      <c r="K114" s="288"/>
      <c r="L114" s="288"/>
      <c r="M114" s="288"/>
      <c r="N114" s="289"/>
    </row>
    <row r="115" spans="1:14" x14ac:dyDescent="0.2">
      <c r="A115" s="283"/>
      <c r="C115" s="287"/>
      <c r="D115" s="296"/>
      <c r="E115" s="288"/>
      <c r="F115" s="296"/>
      <c r="G115" s="297"/>
      <c r="I115" s="288"/>
      <c r="J115" s="288"/>
      <c r="K115" s="288"/>
      <c r="L115" s="288"/>
      <c r="M115" s="288"/>
      <c r="N115" s="289"/>
    </row>
    <row r="116" spans="1:14" ht="11.25" customHeight="1" x14ac:dyDescent="0.2">
      <c r="A116" s="283"/>
      <c r="C116" s="287"/>
      <c r="D116" s="402" t="str">
        <f>"The Carbon abatement cost (in €/ton CO2eq avoided) for " &amp; MID($F$126,4,9) &amp; " is " &amp; TEXT($D$108,"#.##0,00") &amp; " €/ton CO2eq avoided. This measure helps to identify the most cost-effective strategy to reduce GHG emissions."</f>
        <v>The Carbon abatement cost (in €/ton CO2eq avoided) for Pathway 1 is .000 €/ton CO2eq avoided. This measure helps to identify the most cost-effective strategy to reduce GHG emissions.</v>
      </c>
      <c r="E116" s="288"/>
      <c r="F116" s="402" t="str">
        <f>"The CO2 avoided per MWh of energy used (in MWh/ton CO2eq avoided) for " &amp; MID($F$126,4,9) &amp; " is " &amp; TEXT($F$108,"#.##0,00") &amp; " MWh/ton CO2eq avoided."</f>
        <v>The CO2 avoided per MWh of energy used (in MWh/ton CO2eq avoided) for Pathway 1 is .000 MWh/ton CO2eq avoided.</v>
      </c>
      <c r="G116" s="402"/>
      <c r="H116" s="402"/>
      <c r="I116" s="288"/>
      <c r="J116" s="288"/>
      <c r="K116" s="288"/>
      <c r="L116" s="288"/>
      <c r="M116" s="288"/>
      <c r="N116" s="289"/>
    </row>
    <row r="117" spans="1:14" ht="11.25" customHeight="1" x14ac:dyDescent="0.2">
      <c r="A117" s="283"/>
      <c r="C117" s="287"/>
      <c r="D117" s="402"/>
      <c r="E117" s="288"/>
      <c r="F117" s="402"/>
      <c r="G117" s="402"/>
      <c r="H117" s="402"/>
      <c r="I117" s="288"/>
      <c r="J117" s="288"/>
      <c r="K117" s="288"/>
      <c r="L117" s="288"/>
      <c r="M117" s="288"/>
      <c r="N117" s="289"/>
    </row>
    <row r="118" spans="1:14" ht="21" customHeight="1" x14ac:dyDescent="0.2">
      <c r="A118" s="283"/>
      <c r="C118" s="287"/>
      <c r="D118" s="402"/>
      <c r="E118" s="288"/>
      <c r="F118" s="402"/>
      <c r="G118" s="402"/>
      <c r="H118" s="402"/>
      <c r="I118" s="288"/>
      <c r="J118" s="288"/>
      <c r="K118" s="288"/>
      <c r="L118" s="288"/>
      <c r="M118" s="288"/>
      <c r="N118" s="289"/>
    </row>
    <row r="119" spans="1:14" ht="11.25" customHeight="1" x14ac:dyDescent="0.2">
      <c r="A119" s="283"/>
      <c r="C119" s="287"/>
      <c r="D119" s="402"/>
      <c r="E119" s="288"/>
      <c r="F119" s="402"/>
      <c r="G119" s="402"/>
      <c r="H119" s="402"/>
      <c r="I119" s="288"/>
      <c r="J119" s="288"/>
      <c r="K119" s="288"/>
      <c r="L119" s="288"/>
      <c r="M119" s="288"/>
      <c r="N119" s="289"/>
    </row>
    <row r="120" spans="1:14" ht="22.5" customHeight="1" x14ac:dyDescent="0.2">
      <c r="A120" s="283"/>
      <c r="C120" s="287"/>
      <c r="D120" s="402"/>
      <c r="E120" s="288"/>
      <c r="F120" s="402"/>
      <c r="G120" s="402"/>
      <c r="H120" s="402"/>
      <c r="I120" s="288"/>
      <c r="J120" s="288"/>
      <c r="K120" s="288"/>
      <c r="L120" s="288"/>
      <c r="M120" s="288"/>
      <c r="N120" s="289"/>
    </row>
    <row r="121" spans="1:14" ht="12" thickBot="1" x14ac:dyDescent="0.25">
      <c r="A121" s="283"/>
      <c r="C121" s="290"/>
      <c r="D121" s="291"/>
      <c r="E121" s="291"/>
      <c r="F121" s="291"/>
      <c r="G121" s="291"/>
      <c r="H121" s="291"/>
      <c r="I121" s="291"/>
      <c r="J121" s="291"/>
      <c r="K121" s="291"/>
      <c r="L121" s="291"/>
      <c r="M121" s="291"/>
      <c r="N121" s="292"/>
    </row>
    <row r="122" spans="1:14" x14ac:dyDescent="0.2">
      <c r="A122" s="283"/>
    </row>
    <row r="123" spans="1:14" ht="12" thickBot="1" x14ac:dyDescent="0.25">
      <c r="A123" s="283"/>
    </row>
    <row r="124" spans="1:14" x14ac:dyDescent="0.2">
      <c r="A124" s="283"/>
      <c r="C124" s="302" t="s">
        <v>94</v>
      </c>
      <c r="D124" s="293"/>
      <c r="E124" s="293"/>
      <c r="F124" s="293"/>
      <c r="G124" s="293"/>
      <c r="H124" s="293"/>
      <c r="I124" s="293"/>
      <c r="J124" s="293"/>
      <c r="K124" s="293"/>
      <c r="L124" s="293"/>
      <c r="M124" s="293"/>
      <c r="N124" s="294"/>
    </row>
    <row r="125" spans="1:14" x14ac:dyDescent="0.2">
      <c r="A125" s="283"/>
      <c r="C125" s="287"/>
      <c r="D125" s="288"/>
      <c r="E125" s="288"/>
      <c r="F125" s="288"/>
      <c r="G125" s="288"/>
      <c r="H125" s="288"/>
      <c r="I125" s="288"/>
      <c r="J125" s="288"/>
      <c r="K125" s="288"/>
      <c r="L125" s="288"/>
      <c r="M125" s="288"/>
      <c r="N125" s="289"/>
    </row>
    <row r="126" spans="1:14" x14ac:dyDescent="0.2">
      <c r="A126" s="283"/>
      <c r="C126" s="287"/>
      <c r="D126" s="356" t="s">
        <v>91</v>
      </c>
      <c r="E126" s="357"/>
      <c r="F126" s="357" t="str">
        <f>$D$25</f>
        <v xml:space="preserve">1. Pathway 1 </v>
      </c>
      <c r="G126" s="328"/>
      <c r="H126" s="328" t="str">
        <f>'Pathway definition and results'!$E$28</f>
        <v xml:space="preserve">1. Pathway 1 </v>
      </c>
      <c r="I126" s="328" t="str">
        <f>'Pathway definition and results'!$F$28</f>
        <v>2. Pathway 2</v>
      </c>
      <c r="J126" s="328" t="str">
        <f>'Pathway definition and results'!$G$28</f>
        <v>3. Pathway 3</v>
      </c>
      <c r="K126" s="329" t="str">
        <f>'Pathway definition and results'!$H$28</f>
        <v xml:space="preserve">4. Pathway 4 </v>
      </c>
      <c r="L126" s="300"/>
      <c r="M126" s="288"/>
      <c r="N126" s="289"/>
    </row>
    <row r="127" spans="1:14" ht="13.8" x14ac:dyDescent="0.3">
      <c r="A127" s="283"/>
      <c r="C127" s="287"/>
      <c r="D127" s="358" t="s">
        <v>95</v>
      </c>
      <c r="E127" s="387"/>
      <c r="F127" s="387" cm="1">
        <f t="array" ref="F127">INDEX($H$127:$K$128,1,IF($F$126=$H$126,1,IF($F$126=$I$126,2,IF($F$126=$J$126,3,4))))</f>
        <v>0</v>
      </c>
      <c r="G127" s="380"/>
      <c r="H127" s="380">
        <f>'Pathway definition and results'!E61</f>
        <v>0</v>
      </c>
      <c r="I127" s="380">
        <f>'Pathway definition and results'!F61</f>
        <v>0</v>
      </c>
      <c r="J127" s="380">
        <f>'Pathway definition and results'!G61</f>
        <v>0</v>
      </c>
      <c r="K127" s="381">
        <f>'Pathway definition and results'!H61</f>
        <v>0</v>
      </c>
      <c r="L127" s="306"/>
      <c r="M127" s="288"/>
      <c r="N127" s="289"/>
    </row>
    <row r="128" spans="1:14" ht="13.8" x14ac:dyDescent="0.3">
      <c r="A128" s="283"/>
      <c r="C128" s="287"/>
      <c r="D128" s="359" t="s">
        <v>96</v>
      </c>
      <c r="E128" s="360"/>
      <c r="F128" s="360" cm="1">
        <f t="array" ref="F128">INDEX($H$127:$K$128,2,IF($F$126=$H$126,1,IF($F$126=$I$126,2,IF($F$126=$J$126,3,4))))</f>
        <v>0</v>
      </c>
      <c r="G128" s="348"/>
      <c r="H128" s="348">
        <f>'Pathway definition and results'!E62</f>
        <v>0</v>
      </c>
      <c r="I128" s="348">
        <f>'Pathway definition and results'!F62</f>
        <v>0</v>
      </c>
      <c r="J128" s="348">
        <f>'Pathway definition and results'!G62</f>
        <v>0</v>
      </c>
      <c r="K128" s="349">
        <f>'Pathway definition and results'!H62</f>
        <v>0</v>
      </c>
      <c r="L128" s="306"/>
      <c r="M128" s="288"/>
      <c r="N128" s="289"/>
    </row>
    <row r="129" spans="1:14" ht="12" thickBot="1" x14ac:dyDescent="0.25">
      <c r="A129" s="283"/>
      <c r="C129" s="290"/>
      <c r="D129" s="291"/>
      <c r="E129" s="310"/>
      <c r="F129" s="310"/>
      <c r="G129" s="310"/>
      <c r="H129" s="310"/>
      <c r="I129" s="310"/>
      <c r="J129" s="310"/>
      <c r="K129" s="310"/>
      <c r="L129" s="310"/>
      <c r="M129" s="291"/>
      <c r="N129" s="292"/>
    </row>
    <row r="130" spans="1:14" x14ac:dyDescent="0.2">
      <c r="A130" s="283"/>
    </row>
    <row r="131" spans="1:14" x14ac:dyDescent="0.2">
      <c r="A131" s="283"/>
    </row>
    <row r="132" spans="1:14" x14ac:dyDescent="0.2">
      <c r="A132" s="283"/>
    </row>
    <row r="133" spans="1:14" x14ac:dyDescent="0.2">
      <c r="A133" s="283"/>
    </row>
    <row r="134" spans="1:14" x14ac:dyDescent="0.2">
      <c r="A134" s="283"/>
    </row>
    <row r="135" spans="1:14" x14ac:dyDescent="0.2">
      <c r="A135" s="283"/>
    </row>
    <row r="136" spans="1:14" x14ac:dyDescent="0.2">
      <c r="A136" s="283"/>
    </row>
    <row r="137" spans="1:14" x14ac:dyDescent="0.2">
      <c r="A137" s="283"/>
    </row>
    <row r="138" spans="1:14" x14ac:dyDescent="0.2">
      <c r="A138" s="283"/>
    </row>
    <row r="139" spans="1:14" x14ac:dyDescent="0.2">
      <c r="A139" s="283"/>
    </row>
    <row r="140" spans="1:14" x14ac:dyDescent="0.2">
      <c r="A140" s="283"/>
    </row>
    <row r="141" spans="1:14" x14ac:dyDescent="0.2">
      <c r="A141" s="283"/>
    </row>
    <row r="142" spans="1:14" x14ac:dyDescent="0.2">
      <c r="A142" s="283"/>
    </row>
    <row r="143" spans="1:14" x14ac:dyDescent="0.2">
      <c r="A143" s="283"/>
    </row>
    <row r="144" spans="1:14" x14ac:dyDescent="0.2">
      <c r="A144" s="283"/>
    </row>
    <row r="145" spans="1:1" x14ac:dyDescent="0.2">
      <c r="A145" s="283"/>
    </row>
    <row r="146" spans="1:1" x14ac:dyDescent="0.2">
      <c r="A146" s="283"/>
    </row>
    <row r="147" spans="1:1" x14ac:dyDescent="0.2">
      <c r="A147" s="283"/>
    </row>
    <row r="148" spans="1:1" x14ac:dyDescent="0.2">
      <c r="A148" s="283"/>
    </row>
    <row r="149" spans="1:1" x14ac:dyDescent="0.2">
      <c r="A149" s="283"/>
    </row>
    <row r="150" spans="1:1" x14ac:dyDescent="0.2">
      <c r="A150" s="283"/>
    </row>
    <row r="151" spans="1:1" x14ac:dyDescent="0.2">
      <c r="A151" s="283"/>
    </row>
    <row r="152" spans="1:1" x14ac:dyDescent="0.2">
      <c r="A152" s="283"/>
    </row>
    <row r="153" spans="1:1" x14ac:dyDescent="0.2">
      <c r="A153" s="283"/>
    </row>
    <row r="154" spans="1:1" x14ac:dyDescent="0.2">
      <c r="A154" s="283"/>
    </row>
    <row r="155" spans="1:1" x14ac:dyDescent="0.2">
      <c r="A155" s="283"/>
    </row>
    <row r="156" spans="1:1" x14ac:dyDescent="0.2">
      <c r="A156" s="283"/>
    </row>
    <row r="157" spans="1:1" x14ac:dyDescent="0.2">
      <c r="A157" s="283"/>
    </row>
    <row r="158" spans="1:1" x14ac:dyDescent="0.2">
      <c r="A158" s="283"/>
    </row>
    <row r="159" spans="1:1" x14ac:dyDescent="0.2">
      <c r="A159" s="283"/>
    </row>
    <row r="160" spans="1:1" x14ac:dyDescent="0.2">
      <c r="A160" s="283"/>
    </row>
    <row r="161" spans="1:1" x14ac:dyDescent="0.2">
      <c r="A161" s="283"/>
    </row>
    <row r="162" spans="1:1" x14ac:dyDescent="0.2">
      <c r="A162" s="283"/>
    </row>
    <row r="163" spans="1:1" x14ac:dyDescent="0.2">
      <c r="A163" s="283"/>
    </row>
    <row r="164" spans="1:1" x14ac:dyDescent="0.2">
      <c r="A164" s="283"/>
    </row>
    <row r="165" spans="1:1" x14ac:dyDescent="0.2">
      <c r="A165" s="283"/>
    </row>
    <row r="166" spans="1:1" x14ac:dyDescent="0.2">
      <c r="A166" s="283"/>
    </row>
    <row r="167" spans="1:1" x14ac:dyDescent="0.2">
      <c r="A167" s="283"/>
    </row>
    <row r="168" spans="1:1" x14ac:dyDescent="0.2">
      <c r="A168" s="283"/>
    </row>
    <row r="169" spans="1:1" x14ac:dyDescent="0.2">
      <c r="A169" s="283"/>
    </row>
    <row r="170" spans="1:1" x14ac:dyDescent="0.2">
      <c r="A170" s="283"/>
    </row>
    <row r="171" spans="1:1" x14ac:dyDescent="0.2">
      <c r="A171" s="283"/>
    </row>
    <row r="172" spans="1:1" x14ac:dyDescent="0.2">
      <c r="A172" s="283"/>
    </row>
    <row r="173" spans="1:1" x14ac:dyDescent="0.2">
      <c r="A173" s="283"/>
    </row>
    <row r="174" spans="1:1" x14ac:dyDescent="0.2">
      <c r="A174" s="283"/>
    </row>
    <row r="175" spans="1:1" x14ac:dyDescent="0.2">
      <c r="A175" s="283"/>
    </row>
    <row r="176" spans="1:1" x14ac:dyDescent="0.2">
      <c r="A176" s="283"/>
    </row>
    <row r="177" spans="1:1" x14ac:dyDescent="0.2">
      <c r="A177" s="283"/>
    </row>
    <row r="178" spans="1:1" x14ac:dyDescent="0.2">
      <c r="A178" s="283"/>
    </row>
    <row r="179" spans="1:1" x14ac:dyDescent="0.2">
      <c r="A179" s="283"/>
    </row>
    <row r="180" spans="1:1" x14ac:dyDescent="0.2">
      <c r="A180" s="283"/>
    </row>
    <row r="181" spans="1:1" x14ac:dyDescent="0.2">
      <c r="A181" s="283"/>
    </row>
    <row r="182" spans="1:1" x14ac:dyDescent="0.2">
      <c r="A182" s="283"/>
    </row>
    <row r="183" spans="1:1" x14ac:dyDescent="0.2">
      <c r="A183" s="283"/>
    </row>
    <row r="184" spans="1:1" x14ac:dyDescent="0.2">
      <c r="A184" s="283"/>
    </row>
    <row r="185" spans="1:1" x14ac:dyDescent="0.2">
      <c r="A185" s="283"/>
    </row>
    <row r="186" spans="1:1" x14ac:dyDescent="0.2">
      <c r="A186" s="283"/>
    </row>
    <row r="187" spans="1:1" x14ac:dyDescent="0.2">
      <c r="A187" s="283"/>
    </row>
    <row r="188" spans="1:1" x14ac:dyDescent="0.2">
      <c r="A188" s="283"/>
    </row>
    <row r="189" spans="1:1" x14ac:dyDescent="0.2">
      <c r="A189" s="283"/>
    </row>
    <row r="190" spans="1:1" x14ac:dyDescent="0.2">
      <c r="A190" s="283"/>
    </row>
    <row r="191" spans="1:1" x14ac:dyDescent="0.2">
      <c r="A191" s="283"/>
    </row>
    <row r="192" spans="1:1" x14ac:dyDescent="0.2">
      <c r="A192" s="283"/>
    </row>
    <row r="193" spans="1:1" x14ac:dyDescent="0.2">
      <c r="A193" s="283"/>
    </row>
    <row r="194" spans="1:1" x14ac:dyDescent="0.2">
      <c r="A194" s="283"/>
    </row>
    <row r="195" spans="1:1" x14ac:dyDescent="0.2">
      <c r="A195" s="283"/>
    </row>
    <row r="196" spans="1:1" x14ac:dyDescent="0.2">
      <c r="A196" s="283"/>
    </row>
    <row r="197" spans="1:1" x14ac:dyDescent="0.2">
      <c r="A197" s="283"/>
    </row>
    <row r="198" spans="1:1" x14ac:dyDescent="0.2">
      <c r="A198" s="283"/>
    </row>
    <row r="199" spans="1:1" x14ac:dyDescent="0.2">
      <c r="A199" s="283"/>
    </row>
    <row r="200" spans="1:1" x14ac:dyDescent="0.2">
      <c r="A200" s="283"/>
    </row>
    <row r="201" spans="1:1" x14ac:dyDescent="0.2">
      <c r="A201" s="283"/>
    </row>
    <row r="202" spans="1:1" x14ac:dyDescent="0.2">
      <c r="A202" s="283"/>
    </row>
    <row r="203" spans="1:1" x14ac:dyDescent="0.2">
      <c r="A203" s="283"/>
    </row>
    <row r="204" spans="1:1" x14ac:dyDescent="0.2">
      <c r="A204" s="283"/>
    </row>
    <row r="205" spans="1:1" x14ac:dyDescent="0.2">
      <c r="A205" s="283"/>
    </row>
    <row r="206" spans="1:1" x14ac:dyDescent="0.2">
      <c r="A206" s="283"/>
    </row>
    <row r="207" spans="1:1" x14ac:dyDescent="0.2">
      <c r="A207" s="283"/>
    </row>
    <row r="208" spans="1:1" x14ac:dyDescent="0.2">
      <c r="A208" s="283"/>
    </row>
    <row r="209" spans="1:1" x14ac:dyDescent="0.2">
      <c r="A209" s="283"/>
    </row>
    <row r="210" spans="1:1" x14ac:dyDescent="0.2">
      <c r="A210" s="283"/>
    </row>
    <row r="211" spans="1:1" x14ac:dyDescent="0.2">
      <c r="A211" s="283"/>
    </row>
    <row r="212" spans="1:1" x14ac:dyDescent="0.2">
      <c r="A212" s="283"/>
    </row>
    <row r="213" spans="1:1" x14ac:dyDescent="0.2">
      <c r="A213" s="283"/>
    </row>
    <row r="214" spans="1:1" x14ac:dyDescent="0.2">
      <c r="A214" s="283"/>
    </row>
    <row r="215" spans="1:1" x14ac:dyDescent="0.2">
      <c r="A215" s="283"/>
    </row>
    <row r="216" spans="1:1" x14ac:dyDescent="0.2">
      <c r="A216" s="283"/>
    </row>
    <row r="217" spans="1:1" x14ac:dyDescent="0.2">
      <c r="A217" s="283"/>
    </row>
    <row r="218" spans="1:1" x14ac:dyDescent="0.2">
      <c r="A218" s="283"/>
    </row>
    <row r="219" spans="1:1" x14ac:dyDescent="0.2">
      <c r="A219" s="283"/>
    </row>
    <row r="220" spans="1:1" x14ac:dyDescent="0.2">
      <c r="A220" s="283"/>
    </row>
    <row r="221" spans="1:1" x14ac:dyDescent="0.2">
      <c r="A221" s="283"/>
    </row>
    <row r="222" spans="1:1" x14ac:dyDescent="0.2">
      <c r="A222" s="283"/>
    </row>
    <row r="223" spans="1:1" x14ac:dyDescent="0.2">
      <c r="A223" s="283"/>
    </row>
    <row r="224" spans="1:1" x14ac:dyDescent="0.2">
      <c r="A224" s="283"/>
    </row>
    <row r="225" spans="1:1" x14ac:dyDescent="0.2">
      <c r="A225" s="283"/>
    </row>
    <row r="226" spans="1:1" x14ac:dyDescent="0.2">
      <c r="A226" s="283"/>
    </row>
    <row r="227" spans="1:1" x14ac:dyDescent="0.2">
      <c r="A227" s="283"/>
    </row>
    <row r="228" spans="1:1" x14ac:dyDescent="0.2">
      <c r="A228" s="283"/>
    </row>
    <row r="229" spans="1:1" x14ac:dyDescent="0.2">
      <c r="A229" s="283"/>
    </row>
    <row r="230" spans="1:1" x14ac:dyDescent="0.2">
      <c r="A230" s="283"/>
    </row>
    <row r="231" spans="1:1" x14ac:dyDescent="0.2">
      <c r="A231" s="283"/>
    </row>
    <row r="232" spans="1:1" x14ac:dyDescent="0.2">
      <c r="A232" s="283"/>
    </row>
    <row r="233" spans="1:1" x14ac:dyDescent="0.2">
      <c r="A233" s="283"/>
    </row>
    <row r="234" spans="1:1" x14ac:dyDescent="0.2">
      <c r="A234" s="283"/>
    </row>
    <row r="235" spans="1:1" x14ac:dyDescent="0.2">
      <c r="A235" s="283"/>
    </row>
    <row r="236" spans="1:1" x14ac:dyDescent="0.2">
      <c r="A236" s="283"/>
    </row>
    <row r="237" spans="1:1" x14ac:dyDescent="0.2">
      <c r="A237" s="283"/>
    </row>
    <row r="238" spans="1:1" x14ac:dyDescent="0.2">
      <c r="A238" s="283"/>
    </row>
    <row r="239" spans="1:1" x14ac:dyDescent="0.2">
      <c r="A239" s="283"/>
    </row>
    <row r="240" spans="1:1" x14ac:dyDescent="0.2">
      <c r="A240" s="283"/>
    </row>
    <row r="241" spans="1:1" x14ac:dyDescent="0.2">
      <c r="A241" s="283"/>
    </row>
    <row r="242" spans="1:1" x14ac:dyDescent="0.2">
      <c r="A242" s="283"/>
    </row>
    <row r="243" spans="1:1" x14ac:dyDescent="0.2">
      <c r="A243" s="283"/>
    </row>
    <row r="244" spans="1:1" x14ac:dyDescent="0.2">
      <c r="A244" s="283"/>
    </row>
    <row r="245" spans="1:1" x14ac:dyDescent="0.2">
      <c r="A245" s="283"/>
    </row>
    <row r="246" spans="1:1" x14ac:dyDescent="0.2">
      <c r="A246" s="283"/>
    </row>
    <row r="247" spans="1:1" x14ac:dyDescent="0.2">
      <c r="A247" s="283"/>
    </row>
    <row r="248" spans="1:1" x14ac:dyDescent="0.2">
      <c r="A248" s="283"/>
    </row>
    <row r="249" spans="1:1" x14ac:dyDescent="0.2">
      <c r="A249" s="283"/>
    </row>
    <row r="250" spans="1:1" x14ac:dyDescent="0.2">
      <c r="A250" s="283"/>
    </row>
    <row r="251" spans="1:1" x14ac:dyDescent="0.2">
      <c r="A251" s="283"/>
    </row>
    <row r="252" spans="1:1" x14ac:dyDescent="0.2">
      <c r="A252" s="283"/>
    </row>
    <row r="253" spans="1:1" x14ac:dyDescent="0.2">
      <c r="A253" s="283"/>
    </row>
    <row r="254" spans="1:1" x14ac:dyDescent="0.2">
      <c r="A254" s="283"/>
    </row>
    <row r="255" spans="1:1" x14ac:dyDescent="0.2">
      <c r="A255" s="283"/>
    </row>
    <row r="256" spans="1:1" x14ac:dyDescent="0.2">
      <c r="A256" s="283"/>
    </row>
    <row r="257" spans="1:1" x14ac:dyDescent="0.2">
      <c r="A257" s="283"/>
    </row>
    <row r="258" spans="1:1" x14ac:dyDescent="0.2">
      <c r="A258" s="283"/>
    </row>
    <row r="259" spans="1:1" x14ac:dyDescent="0.2">
      <c r="A259" s="283"/>
    </row>
    <row r="260" spans="1:1" x14ac:dyDescent="0.2">
      <c r="A260" s="283"/>
    </row>
    <row r="261" spans="1:1" x14ac:dyDescent="0.2">
      <c r="A261" s="283"/>
    </row>
    <row r="262" spans="1:1" x14ac:dyDescent="0.2">
      <c r="A262" s="283"/>
    </row>
    <row r="263" spans="1:1" x14ac:dyDescent="0.2">
      <c r="A263" s="283"/>
    </row>
    <row r="264" spans="1:1" x14ac:dyDescent="0.2">
      <c r="A264" s="283"/>
    </row>
    <row r="265" spans="1:1" x14ac:dyDescent="0.2">
      <c r="A265" s="283"/>
    </row>
    <row r="266" spans="1:1" x14ac:dyDescent="0.2">
      <c r="A266" s="283"/>
    </row>
    <row r="267" spans="1:1" x14ac:dyDescent="0.2">
      <c r="A267" s="283"/>
    </row>
    <row r="268" spans="1:1" x14ac:dyDescent="0.2">
      <c r="A268" s="283"/>
    </row>
    <row r="269" spans="1:1" x14ac:dyDescent="0.2">
      <c r="A269" s="283"/>
    </row>
    <row r="270" spans="1:1" x14ac:dyDescent="0.2">
      <c r="A270" s="283"/>
    </row>
    <row r="271" spans="1:1" x14ac:dyDescent="0.2">
      <c r="A271" s="283"/>
    </row>
    <row r="272" spans="1:1" x14ac:dyDescent="0.2">
      <c r="A272" s="283"/>
    </row>
    <row r="273" spans="1:1" x14ac:dyDescent="0.2">
      <c r="A273" s="283"/>
    </row>
    <row r="274" spans="1:1" x14ac:dyDescent="0.2">
      <c r="A274" s="283"/>
    </row>
    <row r="275" spans="1:1" x14ac:dyDescent="0.2">
      <c r="A275" s="283"/>
    </row>
    <row r="276" spans="1:1" x14ac:dyDescent="0.2">
      <c r="A276" s="283"/>
    </row>
    <row r="277" spans="1:1" x14ac:dyDescent="0.2">
      <c r="A277" s="283"/>
    </row>
    <row r="278" spans="1:1" x14ac:dyDescent="0.2">
      <c r="A278" s="283"/>
    </row>
    <row r="279" spans="1:1" x14ac:dyDescent="0.2">
      <c r="A279" s="283"/>
    </row>
    <row r="280" spans="1:1" x14ac:dyDescent="0.2">
      <c r="A280" s="283"/>
    </row>
    <row r="281" spans="1:1" x14ac:dyDescent="0.2">
      <c r="A281" s="283"/>
    </row>
    <row r="282" spans="1:1" x14ac:dyDescent="0.2">
      <c r="A282" s="283"/>
    </row>
    <row r="283" spans="1:1" x14ac:dyDescent="0.2">
      <c r="A283" s="283"/>
    </row>
    <row r="284" spans="1:1" x14ac:dyDescent="0.2">
      <c r="A284" s="283"/>
    </row>
    <row r="285" spans="1:1" x14ac:dyDescent="0.2">
      <c r="A285" s="283"/>
    </row>
    <row r="286" spans="1:1" x14ac:dyDescent="0.2">
      <c r="A286" s="283"/>
    </row>
    <row r="287" spans="1:1" x14ac:dyDescent="0.2">
      <c r="A287" s="283"/>
    </row>
    <row r="288" spans="1:1" x14ac:dyDescent="0.2">
      <c r="A288" s="283"/>
    </row>
    <row r="289" spans="1:1" x14ac:dyDescent="0.2">
      <c r="A289" s="283"/>
    </row>
    <row r="290" spans="1:1" x14ac:dyDescent="0.2">
      <c r="A290" s="283"/>
    </row>
    <row r="291" spans="1:1" x14ac:dyDescent="0.2">
      <c r="A291" s="283"/>
    </row>
    <row r="292" spans="1:1" x14ac:dyDescent="0.2">
      <c r="A292" s="283"/>
    </row>
    <row r="293" spans="1:1" x14ac:dyDescent="0.2">
      <c r="A293" s="283"/>
    </row>
    <row r="294" spans="1:1" x14ac:dyDescent="0.2">
      <c r="A294" s="283"/>
    </row>
    <row r="295" spans="1:1" x14ac:dyDescent="0.2">
      <c r="A295" s="283"/>
    </row>
    <row r="296" spans="1:1" x14ac:dyDescent="0.2">
      <c r="A296" s="283"/>
    </row>
    <row r="297" spans="1:1" x14ac:dyDescent="0.2">
      <c r="A297" s="283"/>
    </row>
    <row r="298" spans="1:1" x14ac:dyDescent="0.2">
      <c r="A298" s="283"/>
    </row>
    <row r="299" spans="1:1" x14ac:dyDescent="0.2">
      <c r="A299" s="283"/>
    </row>
    <row r="300" spans="1:1" x14ac:dyDescent="0.2">
      <c r="A300" s="283"/>
    </row>
    <row r="301" spans="1:1" x14ac:dyDescent="0.2">
      <c r="A301" s="283"/>
    </row>
    <row r="302" spans="1:1" x14ac:dyDescent="0.2">
      <c r="A302" s="283"/>
    </row>
    <row r="303" spans="1:1" x14ac:dyDescent="0.2">
      <c r="A303" s="283"/>
    </row>
    <row r="304" spans="1:1" x14ac:dyDescent="0.2">
      <c r="A304" s="283"/>
    </row>
    <row r="305" spans="1:1" x14ac:dyDescent="0.2">
      <c r="A305" s="283"/>
    </row>
    <row r="306" spans="1:1" x14ac:dyDescent="0.2">
      <c r="A306" s="283"/>
    </row>
    <row r="307" spans="1:1" x14ac:dyDescent="0.2">
      <c r="A307" s="283"/>
    </row>
    <row r="308" spans="1:1" x14ac:dyDescent="0.2">
      <c r="A308" s="283"/>
    </row>
    <row r="309" spans="1:1" x14ac:dyDescent="0.2">
      <c r="A309" s="283"/>
    </row>
    <row r="310" spans="1:1" x14ac:dyDescent="0.2">
      <c r="A310" s="283"/>
    </row>
    <row r="311" spans="1:1" x14ac:dyDescent="0.2">
      <c r="A311" s="283"/>
    </row>
    <row r="312" spans="1:1" x14ac:dyDescent="0.2">
      <c r="A312" s="283"/>
    </row>
    <row r="313" spans="1:1" x14ac:dyDescent="0.2">
      <c r="A313" s="283"/>
    </row>
    <row r="314" spans="1:1" x14ac:dyDescent="0.2">
      <c r="A314" s="283"/>
    </row>
    <row r="315" spans="1:1" x14ac:dyDescent="0.2">
      <c r="A315" s="283"/>
    </row>
    <row r="316" spans="1:1" x14ac:dyDescent="0.2">
      <c r="A316" s="283"/>
    </row>
    <row r="317" spans="1:1" x14ac:dyDescent="0.2">
      <c r="A317" s="283"/>
    </row>
    <row r="318" spans="1:1" x14ac:dyDescent="0.2">
      <c r="A318" s="283"/>
    </row>
    <row r="319" spans="1:1" x14ac:dyDescent="0.2">
      <c r="A319" s="283"/>
    </row>
    <row r="320" spans="1:1" x14ac:dyDescent="0.2">
      <c r="A320" s="283"/>
    </row>
    <row r="321" spans="1:1" x14ac:dyDescent="0.2">
      <c r="A321" s="283"/>
    </row>
    <row r="322" spans="1:1" x14ac:dyDescent="0.2">
      <c r="A322" s="283"/>
    </row>
    <row r="323" spans="1:1" x14ac:dyDescent="0.2">
      <c r="A323" s="283"/>
    </row>
    <row r="324" spans="1:1" x14ac:dyDescent="0.2">
      <c r="A324" s="283"/>
    </row>
    <row r="325" spans="1:1" x14ac:dyDescent="0.2">
      <c r="A325" s="283"/>
    </row>
    <row r="326" spans="1:1" x14ac:dyDescent="0.2">
      <c r="A326" s="283"/>
    </row>
    <row r="327" spans="1:1" x14ac:dyDescent="0.2">
      <c r="A327" s="283"/>
    </row>
    <row r="328" spans="1:1" x14ac:dyDescent="0.2">
      <c r="A328" s="283"/>
    </row>
    <row r="329" spans="1:1" x14ac:dyDescent="0.2">
      <c r="A329" s="283"/>
    </row>
    <row r="330" spans="1:1" x14ac:dyDescent="0.2">
      <c r="A330" s="283"/>
    </row>
    <row r="331" spans="1:1" x14ac:dyDescent="0.2">
      <c r="A331" s="283"/>
    </row>
    <row r="332" spans="1:1" x14ac:dyDescent="0.2">
      <c r="A332" s="283"/>
    </row>
    <row r="333" spans="1:1" x14ac:dyDescent="0.2">
      <c r="A333" s="283"/>
    </row>
    <row r="334" spans="1:1" x14ac:dyDescent="0.2">
      <c r="A334" s="283"/>
    </row>
    <row r="335" spans="1:1" x14ac:dyDescent="0.2">
      <c r="A335" s="283"/>
    </row>
    <row r="336" spans="1:1" x14ac:dyDescent="0.2">
      <c r="A336" s="283"/>
    </row>
    <row r="337" spans="1:1" x14ac:dyDescent="0.2">
      <c r="A337" s="283"/>
    </row>
    <row r="338" spans="1:1" x14ac:dyDescent="0.2">
      <c r="A338" s="283"/>
    </row>
    <row r="339" spans="1:1" x14ac:dyDescent="0.2">
      <c r="A339" s="283"/>
    </row>
    <row r="340" spans="1:1" x14ac:dyDescent="0.2">
      <c r="A340" s="283"/>
    </row>
    <row r="341" spans="1:1" x14ac:dyDescent="0.2">
      <c r="A341" s="283"/>
    </row>
    <row r="342" spans="1:1" x14ac:dyDescent="0.2">
      <c r="A342" s="283"/>
    </row>
    <row r="343" spans="1:1" x14ac:dyDescent="0.2">
      <c r="A343" s="283"/>
    </row>
    <row r="344" spans="1:1" x14ac:dyDescent="0.2">
      <c r="A344" s="283"/>
    </row>
    <row r="345" spans="1:1" x14ac:dyDescent="0.2">
      <c r="A345" s="283"/>
    </row>
    <row r="346" spans="1:1" x14ac:dyDescent="0.2">
      <c r="A346" s="283"/>
    </row>
    <row r="347" spans="1:1" x14ac:dyDescent="0.2">
      <c r="A347" s="283"/>
    </row>
    <row r="348" spans="1:1" x14ac:dyDescent="0.2">
      <c r="A348" s="283"/>
    </row>
    <row r="349" spans="1:1" x14ac:dyDescent="0.2">
      <c r="A349" s="283"/>
    </row>
    <row r="350" spans="1:1" x14ac:dyDescent="0.2">
      <c r="A350" s="283"/>
    </row>
    <row r="351" spans="1:1" x14ac:dyDescent="0.2">
      <c r="A351" s="283"/>
    </row>
    <row r="352" spans="1:1" x14ac:dyDescent="0.2">
      <c r="A352" s="283"/>
    </row>
    <row r="353" spans="1:1" x14ac:dyDescent="0.2">
      <c r="A353" s="283"/>
    </row>
    <row r="354" spans="1:1" x14ac:dyDescent="0.2">
      <c r="A354" s="283"/>
    </row>
    <row r="355" spans="1:1" x14ac:dyDescent="0.2">
      <c r="A355" s="283"/>
    </row>
    <row r="356" spans="1:1" x14ac:dyDescent="0.2">
      <c r="A356" s="283"/>
    </row>
    <row r="357" spans="1:1" x14ac:dyDescent="0.2">
      <c r="A357" s="283"/>
    </row>
    <row r="358" spans="1:1" x14ac:dyDescent="0.2">
      <c r="A358" s="283"/>
    </row>
    <row r="359" spans="1:1" x14ac:dyDescent="0.2">
      <c r="A359" s="283"/>
    </row>
    <row r="360" spans="1:1" x14ac:dyDescent="0.2">
      <c r="A360" s="283"/>
    </row>
    <row r="361" spans="1:1" x14ac:dyDescent="0.2">
      <c r="A361" s="283"/>
    </row>
    <row r="362" spans="1:1" x14ac:dyDescent="0.2">
      <c r="A362" s="283"/>
    </row>
    <row r="363" spans="1:1" x14ac:dyDescent="0.2">
      <c r="A363" s="283"/>
    </row>
    <row r="364" spans="1:1" x14ac:dyDescent="0.2">
      <c r="A364" s="283"/>
    </row>
    <row r="365" spans="1:1" x14ac:dyDescent="0.2">
      <c r="A365" s="283"/>
    </row>
    <row r="366" spans="1:1" x14ac:dyDescent="0.2">
      <c r="A366" s="283"/>
    </row>
    <row r="367" spans="1:1" x14ac:dyDescent="0.2">
      <c r="A367" s="283"/>
    </row>
    <row r="368" spans="1:1" x14ac:dyDescent="0.2">
      <c r="A368" s="283"/>
    </row>
    <row r="369" spans="1:1" x14ac:dyDescent="0.2">
      <c r="A369" s="283"/>
    </row>
    <row r="370" spans="1:1" x14ac:dyDescent="0.2">
      <c r="A370" s="283"/>
    </row>
    <row r="371" spans="1:1" x14ac:dyDescent="0.2">
      <c r="A371" s="283"/>
    </row>
    <row r="372" spans="1:1" x14ac:dyDescent="0.2">
      <c r="A372" s="283"/>
    </row>
    <row r="373" spans="1:1" x14ac:dyDescent="0.2">
      <c r="A373" s="283"/>
    </row>
    <row r="374" spans="1:1" x14ac:dyDescent="0.2">
      <c r="A374" s="283"/>
    </row>
    <row r="375" spans="1:1" x14ac:dyDescent="0.2">
      <c r="A375" s="283"/>
    </row>
    <row r="376" spans="1:1" x14ac:dyDescent="0.2">
      <c r="A376" s="283"/>
    </row>
    <row r="377" spans="1:1" x14ac:dyDescent="0.2">
      <c r="A377" s="283"/>
    </row>
    <row r="378" spans="1:1" x14ac:dyDescent="0.2">
      <c r="A378" s="283"/>
    </row>
    <row r="379" spans="1:1" x14ac:dyDescent="0.2">
      <c r="A379" s="283"/>
    </row>
    <row r="380" spans="1:1" x14ac:dyDescent="0.2">
      <c r="A380" s="283"/>
    </row>
    <row r="381" spans="1:1" x14ac:dyDescent="0.2">
      <c r="A381" s="283"/>
    </row>
    <row r="382" spans="1:1" x14ac:dyDescent="0.2">
      <c r="A382" s="283"/>
    </row>
    <row r="383" spans="1:1" x14ac:dyDescent="0.2">
      <c r="A383" s="283"/>
    </row>
    <row r="384" spans="1:1" x14ac:dyDescent="0.2">
      <c r="A384" s="283"/>
    </row>
    <row r="385" spans="1:1" x14ac:dyDescent="0.2">
      <c r="A385" s="283"/>
    </row>
    <row r="386" spans="1:1" x14ac:dyDescent="0.2">
      <c r="A386" s="283"/>
    </row>
    <row r="387" spans="1:1" x14ac:dyDescent="0.2">
      <c r="A387" s="283"/>
    </row>
    <row r="388" spans="1:1" x14ac:dyDescent="0.2">
      <c r="A388" s="283"/>
    </row>
    <row r="389" spans="1:1" x14ac:dyDescent="0.2">
      <c r="A389" s="283"/>
    </row>
    <row r="390" spans="1:1" x14ac:dyDescent="0.2">
      <c r="A390" s="283"/>
    </row>
    <row r="391" spans="1:1" x14ac:dyDescent="0.2">
      <c r="A391" s="283"/>
    </row>
    <row r="392" spans="1:1" x14ac:dyDescent="0.2">
      <c r="A392" s="283"/>
    </row>
    <row r="393" spans="1:1" x14ac:dyDescent="0.2">
      <c r="A393" s="283"/>
    </row>
    <row r="394" spans="1:1" x14ac:dyDescent="0.2">
      <c r="A394" s="283"/>
    </row>
    <row r="395" spans="1:1" x14ac:dyDescent="0.2">
      <c r="A395" s="283"/>
    </row>
    <row r="396" spans="1:1" x14ac:dyDescent="0.2">
      <c r="A396" s="283"/>
    </row>
    <row r="397" spans="1:1" x14ac:dyDescent="0.2">
      <c r="A397" s="283"/>
    </row>
    <row r="398" spans="1:1" x14ac:dyDescent="0.2">
      <c r="A398" s="283"/>
    </row>
    <row r="399" spans="1:1" x14ac:dyDescent="0.2">
      <c r="A399" s="283"/>
    </row>
    <row r="400" spans="1:1" x14ac:dyDescent="0.2">
      <c r="A400" s="283"/>
    </row>
    <row r="401" spans="1:1" x14ac:dyDescent="0.2">
      <c r="A401" s="283"/>
    </row>
    <row r="402" spans="1:1" x14ac:dyDescent="0.2">
      <c r="A402" s="283"/>
    </row>
    <row r="403" spans="1:1" x14ac:dyDescent="0.2">
      <c r="A403" s="283"/>
    </row>
    <row r="404" spans="1:1" x14ac:dyDescent="0.2">
      <c r="A404" s="283"/>
    </row>
    <row r="405" spans="1:1" x14ac:dyDescent="0.2">
      <c r="A405" s="283"/>
    </row>
    <row r="406" spans="1:1" x14ac:dyDescent="0.2">
      <c r="A406" s="283"/>
    </row>
    <row r="407" spans="1:1" x14ac:dyDescent="0.2">
      <c r="A407" s="283"/>
    </row>
    <row r="408" spans="1:1" x14ac:dyDescent="0.2">
      <c r="A408" s="283"/>
    </row>
    <row r="409" spans="1:1" x14ac:dyDescent="0.2">
      <c r="A409" s="283"/>
    </row>
    <row r="410" spans="1:1" x14ac:dyDescent="0.2">
      <c r="A410" s="283"/>
    </row>
    <row r="411" spans="1:1" x14ac:dyDescent="0.2">
      <c r="A411" s="283"/>
    </row>
    <row r="412" spans="1:1" x14ac:dyDescent="0.2">
      <c r="A412" s="283"/>
    </row>
    <row r="413" spans="1:1" x14ac:dyDescent="0.2">
      <c r="A413" s="283"/>
    </row>
    <row r="414" spans="1:1" x14ac:dyDescent="0.2">
      <c r="A414" s="283"/>
    </row>
    <row r="415" spans="1:1" x14ac:dyDescent="0.2">
      <c r="A415" s="283"/>
    </row>
    <row r="416" spans="1:1" x14ac:dyDescent="0.2">
      <c r="A416" s="283"/>
    </row>
    <row r="417" spans="1:1" x14ac:dyDescent="0.2">
      <c r="A417" s="283"/>
    </row>
    <row r="418" spans="1:1" x14ac:dyDescent="0.2">
      <c r="A418" s="283"/>
    </row>
    <row r="419" spans="1:1" x14ac:dyDescent="0.2">
      <c r="A419" s="283"/>
    </row>
    <row r="420" spans="1:1" x14ac:dyDescent="0.2">
      <c r="A420" s="283"/>
    </row>
    <row r="421" spans="1:1" x14ac:dyDescent="0.2">
      <c r="A421" s="283"/>
    </row>
    <row r="422" spans="1:1" x14ac:dyDescent="0.2">
      <c r="A422" s="283"/>
    </row>
    <row r="423" spans="1:1" x14ac:dyDescent="0.2">
      <c r="A423" s="283"/>
    </row>
    <row r="424" spans="1:1" x14ac:dyDescent="0.2">
      <c r="A424" s="283"/>
    </row>
    <row r="425" spans="1:1" x14ac:dyDescent="0.2">
      <c r="A425" s="283"/>
    </row>
    <row r="426" spans="1:1" x14ac:dyDescent="0.2">
      <c r="A426" s="283"/>
    </row>
    <row r="427" spans="1:1" x14ac:dyDescent="0.2">
      <c r="A427" s="283"/>
    </row>
    <row r="428" spans="1:1" x14ac:dyDescent="0.2">
      <c r="A428" s="283"/>
    </row>
    <row r="429" spans="1:1" x14ac:dyDescent="0.2">
      <c r="A429" s="283"/>
    </row>
    <row r="430" spans="1:1" x14ac:dyDescent="0.2">
      <c r="A430" s="283"/>
    </row>
    <row r="431" spans="1:1" x14ac:dyDescent="0.2">
      <c r="A431" s="283"/>
    </row>
    <row r="432" spans="1:1" x14ac:dyDescent="0.2">
      <c r="A432" s="283"/>
    </row>
    <row r="433" spans="1:1" x14ac:dyDescent="0.2">
      <c r="A433" s="283"/>
    </row>
    <row r="434" spans="1:1" x14ac:dyDescent="0.2">
      <c r="A434" s="283"/>
    </row>
    <row r="435" spans="1:1" x14ac:dyDescent="0.2">
      <c r="A435" s="283"/>
    </row>
    <row r="436" spans="1:1" x14ac:dyDescent="0.2">
      <c r="A436" s="283"/>
    </row>
    <row r="437" spans="1:1" x14ac:dyDescent="0.2">
      <c r="A437" s="283"/>
    </row>
    <row r="438" spans="1:1" x14ac:dyDescent="0.2">
      <c r="A438" s="283"/>
    </row>
    <row r="439" spans="1:1" x14ac:dyDescent="0.2">
      <c r="A439" s="283"/>
    </row>
    <row r="440" spans="1:1" x14ac:dyDescent="0.2">
      <c r="A440" s="283"/>
    </row>
    <row r="441" spans="1:1" x14ac:dyDescent="0.2">
      <c r="A441" s="283"/>
    </row>
    <row r="442" spans="1:1" x14ac:dyDescent="0.2">
      <c r="A442" s="283"/>
    </row>
    <row r="443" spans="1:1" x14ac:dyDescent="0.2">
      <c r="A443" s="283"/>
    </row>
    <row r="444" spans="1:1" x14ac:dyDescent="0.2">
      <c r="A444" s="283"/>
    </row>
    <row r="445" spans="1:1" x14ac:dyDescent="0.2">
      <c r="A445" s="283"/>
    </row>
    <row r="446" spans="1:1" x14ac:dyDescent="0.2">
      <c r="A446" s="283"/>
    </row>
    <row r="447" spans="1:1" x14ac:dyDescent="0.2">
      <c r="A447" s="283"/>
    </row>
    <row r="448" spans="1:1" x14ac:dyDescent="0.2">
      <c r="A448" s="283"/>
    </row>
    <row r="449" spans="1:1" x14ac:dyDescent="0.2">
      <c r="A449" s="283"/>
    </row>
    <row r="450" spans="1:1" x14ac:dyDescent="0.2">
      <c r="A450" s="283"/>
    </row>
    <row r="451" spans="1:1" x14ac:dyDescent="0.2">
      <c r="A451" s="283"/>
    </row>
    <row r="452" spans="1:1" x14ac:dyDescent="0.2">
      <c r="A452" s="283"/>
    </row>
    <row r="453" spans="1:1" x14ac:dyDescent="0.2">
      <c r="A453" s="283"/>
    </row>
    <row r="454" spans="1:1" x14ac:dyDescent="0.2">
      <c r="A454" s="283"/>
    </row>
    <row r="455" spans="1:1" x14ac:dyDescent="0.2">
      <c r="A455" s="283"/>
    </row>
    <row r="456" spans="1:1" x14ac:dyDescent="0.2">
      <c r="A456" s="283"/>
    </row>
    <row r="457" spans="1:1" x14ac:dyDescent="0.2">
      <c r="A457" s="283"/>
    </row>
    <row r="458" spans="1:1" x14ac:dyDescent="0.2">
      <c r="A458" s="283"/>
    </row>
    <row r="459" spans="1:1" x14ac:dyDescent="0.2">
      <c r="A459" s="283"/>
    </row>
    <row r="460" spans="1:1" x14ac:dyDescent="0.2">
      <c r="A460" s="283"/>
    </row>
    <row r="461" spans="1:1" x14ac:dyDescent="0.2">
      <c r="A461" s="283"/>
    </row>
    <row r="462" spans="1:1" x14ac:dyDescent="0.2">
      <c r="A462" s="283"/>
    </row>
    <row r="463" spans="1:1" x14ac:dyDescent="0.2">
      <c r="A463" s="283"/>
    </row>
    <row r="464" spans="1:1" x14ac:dyDescent="0.2">
      <c r="A464" s="283"/>
    </row>
    <row r="465" spans="1:1" x14ac:dyDescent="0.2">
      <c r="A465" s="283"/>
    </row>
    <row r="466" spans="1:1" x14ac:dyDescent="0.2">
      <c r="A466" s="283"/>
    </row>
    <row r="467" spans="1:1" x14ac:dyDescent="0.2">
      <c r="A467" s="283"/>
    </row>
    <row r="468" spans="1:1" x14ac:dyDescent="0.2">
      <c r="A468" s="283"/>
    </row>
    <row r="469" spans="1:1" x14ac:dyDescent="0.2">
      <c r="A469" s="283"/>
    </row>
    <row r="470" spans="1:1" x14ac:dyDescent="0.2">
      <c r="A470" s="283"/>
    </row>
    <row r="471" spans="1:1" x14ac:dyDescent="0.2">
      <c r="A471" s="283"/>
    </row>
    <row r="472" spans="1:1" x14ac:dyDescent="0.2">
      <c r="A472" s="283"/>
    </row>
    <row r="473" spans="1:1" x14ac:dyDescent="0.2">
      <c r="A473" s="283"/>
    </row>
    <row r="474" spans="1:1" x14ac:dyDescent="0.2">
      <c r="A474" s="283"/>
    </row>
    <row r="475" spans="1:1" x14ac:dyDescent="0.2">
      <c r="A475" s="283"/>
    </row>
    <row r="476" spans="1:1" x14ac:dyDescent="0.2">
      <c r="A476" s="283"/>
    </row>
    <row r="477" spans="1:1" x14ac:dyDescent="0.2">
      <c r="A477" s="283"/>
    </row>
    <row r="478" spans="1:1" x14ac:dyDescent="0.2">
      <c r="A478" s="283"/>
    </row>
    <row r="479" spans="1:1" x14ac:dyDescent="0.2">
      <c r="A479" s="283"/>
    </row>
    <row r="480" spans="1:1" x14ac:dyDescent="0.2">
      <c r="A480" s="283"/>
    </row>
    <row r="481" spans="1:1" x14ac:dyDescent="0.2">
      <c r="A481" s="283"/>
    </row>
    <row r="482" spans="1:1" x14ac:dyDescent="0.2">
      <c r="A482" s="283"/>
    </row>
    <row r="483" spans="1:1" x14ac:dyDescent="0.2">
      <c r="A483" s="283"/>
    </row>
    <row r="484" spans="1:1" x14ac:dyDescent="0.2">
      <c r="A484" s="283"/>
    </row>
    <row r="485" spans="1:1" x14ac:dyDescent="0.2">
      <c r="A485" s="283"/>
    </row>
    <row r="486" spans="1:1" x14ac:dyDescent="0.2">
      <c r="A486" s="283"/>
    </row>
    <row r="487" spans="1:1" x14ac:dyDescent="0.2">
      <c r="A487" s="283"/>
    </row>
    <row r="488" spans="1:1" x14ac:dyDescent="0.2">
      <c r="A488" s="283"/>
    </row>
    <row r="489" spans="1:1" x14ac:dyDescent="0.2">
      <c r="A489" s="283"/>
    </row>
    <row r="490" spans="1:1" x14ac:dyDescent="0.2">
      <c r="A490" s="283"/>
    </row>
    <row r="491" spans="1:1" x14ac:dyDescent="0.2">
      <c r="A491" s="283"/>
    </row>
    <row r="492" spans="1:1" x14ac:dyDescent="0.2">
      <c r="A492" s="283"/>
    </row>
    <row r="493" spans="1:1" x14ac:dyDescent="0.2">
      <c r="A493" s="283"/>
    </row>
    <row r="494" spans="1:1" x14ac:dyDescent="0.2">
      <c r="A494" s="283"/>
    </row>
    <row r="495" spans="1:1" x14ac:dyDescent="0.2">
      <c r="A495" s="283"/>
    </row>
    <row r="496" spans="1:1" x14ac:dyDescent="0.2">
      <c r="A496" s="283"/>
    </row>
    <row r="497" spans="1:1" x14ac:dyDescent="0.2">
      <c r="A497" s="283"/>
    </row>
    <row r="498" spans="1:1" x14ac:dyDescent="0.2">
      <c r="A498" s="283"/>
    </row>
    <row r="499" spans="1:1" x14ac:dyDescent="0.2">
      <c r="A499" s="283"/>
    </row>
    <row r="500" spans="1:1" x14ac:dyDescent="0.2">
      <c r="A500" s="283"/>
    </row>
    <row r="501" spans="1:1" x14ac:dyDescent="0.2">
      <c r="A501" s="283"/>
    </row>
    <row r="502" spans="1:1" x14ac:dyDescent="0.2">
      <c r="A502" s="283"/>
    </row>
    <row r="503" spans="1:1" x14ac:dyDescent="0.2">
      <c r="A503" s="283"/>
    </row>
    <row r="504" spans="1:1" x14ac:dyDescent="0.2">
      <c r="A504" s="283"/>
    </row>
    <row r="505" spans="1:1" x14ac:dyDescent="0.2">
      <c r="A505" s="283"/>
    </row>
    <row r="506" spans="1:1" x14ac:dyDescent="0.2">
      <c r="A506" s="283"/>
    </row>
    <row r="507" spans="1:1" x14ac:dyDescent="0.2">
      <c r="A507" s="283"/>
    </row>
    <row r="508" spans="1:1" x14ac:dyDescent="0.2">
      <c r="A508" s="283"/>
    </row>
    <row r="509" spans="1:1" x14ac:dyDescent="0.2">
      <c r="A509" s="283"/>
    </row>
    <row r="510" spans="1:1" x14ac:dyDescent="0.2">
      <c r="A510" s="283"/>
    </row>
    <row r="511" spans="1:1" x14ac:dyDescent="0.2">
      <c r="A511" s="283"/>
    </row>
    <row r="512" spans="1:1" x14ac:dyDescent="0.2">
      <c r="A512" s="283"/>
    </row>
    <row r="513" spans="1:1" x14ac:dyDescent="0.2">
      <c r="A513" s="283"/>
    </row>
    <row r="514" spans="1:1" x14ac:dyDescent="0.2">
      <c r="A514" s="283"/>
    </row>
    <row r="515" spans="1:1" x14ac:dyDescent="0.2">
      <c r="A515" s="283"/>
    </row>
    <row r="516" spans="1:1" x14ac:dyDescent="0.2">
      <c r="A516" s="283"/>
    </row>
    <row r="517" spans="1:1" x14ac:dyDescent="0.2">
      <c r="A517" s="283"/>
    </row>
    <row r="518" spans="1:1" x14ac:dyDescent="0.2">
      <c r="A518" s="283"/>
    </row>
    <row r="519" spans="1:1" x14ac:dyDescent="0.2">
      <c r="A519" s="283"/>
    </row>
    <row r="520" spans="1:1" x14ac:dyDescent="0.2">
      <c r="A520" s="283"/>
    </row>
    <row r="521" spans="1:1" x14ac:dyDescent="0.2">
      <c r="A521" s="283"/>
    </row>
    <row r="522" spans="1:1" x14ac:dyDescent="0.2">
      <c r="A522" s="283"/>
    </row>
    <row r="523" spans="1:1" x14ac:dyDescent="0.2">
      <c r="A523" s="283"/>
    </row>
    <row r="524" spans="1:1" x14ac:dyDescent="0.2">
      <c r="A524" s="283"/>
    </row>
    <row r="525" spans="1:1" x14ac:dyDescent="0.2">
      <c r="A525" s="283"/>
    </row>
    <row r="526" spans="1:1" x14ac:dyDescent="0.2">
      <c r="A526" s="283"/>
    </row>
    <row r="527" spans="1:1" x14ac:dyDescent="0.2">
      <c r="A527" s="283"/>
    </row>
    <row r="528" spans="1:1" x14ac:dyDescent="0.2">
      <c r="A528" s="283"/>
    </row>
    <row r="529" spans="1:1" x14ac:dyDescent="0.2">
      <c r="A529" s="283"/>
    </row>
    <row r="530" spans="1:1" x14ac:dyDescent="0.2">
      <c r="A530" s="283"/>
    </row>
    <row r="531" spans="1:1" x14ac:dyDescent="0.2">
      <c r="A531" s="283"/>
    </row>
    <row r="532" spans="1:1" x14ac:dyDescent="0.2">
      <c r="A532" s="283"/>
    </row>
    <row r="533" spans="1:1" x14ac:dyDescent="0.2">
      <c r="A533" s="283"/>
    </row>
    <row r="534" spans="1:1" x14ac:dyDescent="0.2">
      <c r="A534" s="283"/>
    </row>
    <row r="535" spans="1:1" x14ac:dyDescent="0.2">
      <c r="A535" s="283"/>
    </row>
    <row r="536" spans="1:1" x14ac:dyDescent="0.2">
      <c r="A536" s="283"/>
    </row>
    <row r="537" spans="1:1" x14ac:dyDescent="0.2">
      <c r="A537" s="283"/>
    </row>
    <row r="538" spans="1:1" x14ac:dyDescent="0.2">
      <c r="A538" s="283"/>
    </row>
    <row r="539" spans="1:1" x14ac:dyDescent="0.2">
      <c r="A539" s="283"/>
    </row>
    <row r="540" spans="1:1" x14ac:dyDescent="0.2">
      <c r="A540" s="283"/>
    </row>
    <row r="541" spans="1:1" x14ac:dyDescent="0.2">
      <c r="A541" s="283"/>
    </row>
    <row r="542" spans="1:1" x14ac:dyDescent="0.2">
      <c r="A542" s="283"/>
    </row>
    <row r="543" spans="1:1" x14ac:dyDescent="0.2">
      <c r="A543" s="283"/>
    </row>
    <row r="544" spans="1:1" x14ac:dyDescent="0.2">
      <c r="A544" s="283"/>
    </row>
    <row r="545" spans="1:1" x14ac:dyDescent="0.2">
      <c r="A545" s="283"/>
    </row>
    <row r="546" spans="1:1" x14ac:dyDescent="0.2">
      <c r="A546" s="283"/>
    </row>
    <row r="547" spans="1:1" x14ac:dyDescent="0.2">
      <c r="A547" s="283"/>
    </row>
    <row r="548" spans="1:1" x14ac:dyDescent="0.2">
      <c r="A548" s="283"/>
    </row>
    <row r="549" spans="1:1" x14ac:dyDescent="0.2">
      <c r="A549" s="283"/>
    </row>
    <row r="550" spans="1:1" x14ac:dyDescent="0.2">
      <c r="A550" s="283"/>
    </row>
    <row r="551" spans="1:1" x14ac:dyDescent="0.2">
      <c r="A551" s="283"/>
    </row>
    <row r="552" spans="1:1" x14ac:dyDescent="0.2">
      <c r="A552" s="283"/>
    </row>
    <row r="553" spans="1:1" x14ac:dyDescent="0.2">
      <c r="A553" s="283"/>
    </row>
    <row r="554" spans="1:1" x14ac:dyDescent="0.2">
      <c r="A554" s="283"/>
    </row>
    <row r="555" spans="1:1" x14ac:dyDescent="0.2">
      <c r="A555" s="283"/>
    </row>
    <row r="556" spans="1:1" x14ac:dyDescent="0.2">
      <c r="A556" s="283"/>
    </row>
    <row r="557" spans="1:1" x14ac:dyDescent="0.2">
      <c r="A557" s="283"/>
    </row>
    <row r="558" spans="1:1" x14ac:dyDescent="0.2">
      <c r="A558" s="283"/>
    </row>
    <row r="559" spans="1:1" x14ac:dyDescent="0.2">
      <c r="A559" s="283"/>
    </row>
    <row r="560" spans="1:1" x14ac:dyDescent="0.2">
      <c r="A560" s="283"/>
    </row>
    <row r="561" spans="1:1" x14ac:dyDescent="0.2">
      <c r="A561" s="283"/>
    </row>
    <row r="562" spans="1:1" x14ac:dyDescent="0.2">
      <c r="A562" s="283"/>
    </row>
    <row r="563" spans="1:1" x14ac:dyDescent="0.2">
      <c r="A563" s="283"/>
    </row>
    <row r="564" spans="1:1" x14ac:dyDescent="0.2">
      <c r="A564" s="283"/>
    </row>
    <row r="565" spans="1:1" x14ac:dyDescent="0.2">
      <c r="A565" s="283"/>
    </row>
    <row r="566" spans="1:1" x14ac:dyDescent="0.2">
      <c r="A566" s="283"/>
    </row>
    <row r="567" spans="1:1" x14ac:dyDescent="0.2">
      <c r="A567" s="283"/>
    </row>
    <row r="568" spans="1:1" x14ac:dyDescent="0.2">
      <c r="A568" s="283"/>
    </row>
    <row r="569" spans="1:1" x14ac:dyDescent="0.2">
      <c r="A569" s="283"/>
    </row>
    <row r="570" spans="1:1" x14ac:dyDescent="0.2">
      <c r="A570" s="283"/>
    </row>
    <row r="571" spans="1:1" x14ac:dyDescent="0.2">
      <c r="A571" s="283"/>
    </row>
    <row r="572" spans="1:1" x14ac:dyDescent="0.2">
      <c r="A572" s="283"/>
    </row>
    <row r="573" spans="1:1" x14ac:dyDescent="0.2">
      <c r="A573" s="283"/>
    </row>
    <row r="574" spans="1:1" x14ac:dyDescent="0.2">
      <c r="A574" s="283"/>
    </row>
    <row r="575" spans="1:1" x14ac:dyDescent="0.2">
      <c r="A575" s="283"/>
    </row>
    <row r="576" spans="1:1" x14ac:dyDescent="0.2">
      <c r="A576" s="283"/>
    </row>
    <row r="577" spans="1:1" x14ac:dyDescent="0.2">
      <c r="A577" s="283"/>
    </row>
    <row r="578" spans="1:1" x14ac:dyDescent="0.2">
      <c r="A578" s="283"/>
    </row>
    <row r="579" spans="1:1" x14ac:dyDescent="0.2">
      <c r="A579" s="283"/>
    </row>
    <row r="580" spans="1:1" x14ac:dyDescent="0.2">
      <c r="A580" s="283"/>
    </row>
    <row r="581" spans="1:1" x14ac:dyDescent="0.2">
      <c r="A581" s="283"/>
    </row>
    <row r="582" spans="1:1" x14ac:dyDescent="0.2">
      <c r="A582" s="283"/>
    </row>
    <row r="583" spans="1:1" x14ac:dyDescent="0.2">
      <c r="A583" s="283"/>
    </row>
    <row r="584" spans="1:1" x14ac:dyDescent="0.2">
      <c r="A584" s="283"/>
    </row>
    <row r="585" spans="1:1" x14ac:dyDescent="0.2">
      <c r="A585" s="283"/>
    </row>
    <row r="586" spans="1:1" x14ac:dyDescent="0.2">
      <c r="A586" s="283"/>
    </row>
    <row r="587" spans="1:1" x14ac:dyDescent="0.2">
      <c r="A587" s="283"/>
    </row>
    <row r="588" spans="1:1" x14ac:dyDescent="0.2">
      <c r="A588" s="283"/>
    </row>
    <row r="589" spans="1:1" x14ac:dyDescent="0.2">
      <c r="A589" s="283"/>
    </row>
    <row r="590" spans="1:1" x14ac:dyDescent="0.2">
      <c r="A590" s="283"/>
    </row>
    <row r="591" spans="1:1" x14ac:dyDescent="0.2">
      <c r="A591" s="283"/>
    </row>
    <row r="592" spans="1:1" x14ac:dyDescent="0.2">
      <c r="A592" s="283"/>
    </row>
    <row r="593" spans="1:1" x14ac:dyDescent="0.2">
      <c r="A593" s="283"/>
    </row>
    <row r="594" spans="1:1" x14ac:dyDescent="0.2">
      <c r="A594" s="283"/>
    </row>
    <row r="595" spans="1:1" x14ac:dyDescent="0.2">
      <c r="A595" s="283"/>
    </row>
    <row r="596" spans="1:1" x14ac:dyDescent="0.2">
      <c r="A596" s="283"/>
    </row>
    <row r="597" spans="1:1" x14ac:dyDescent="0.2">
      <c r="A597" s="283"/>
    </row>
    <row r="598" spans="1:1" x14ac:dyDescent="0.2">
      <c r="A598" s="283"/>
    </row>
    <row r="599" spans="1:1" x14ac:dyDescent="0.2">
      <c r="A599" s="283"/>
    </row>
    <row r="600" spans="1:1" x14ac:dyDescent="0.2">
      <c r="A600" s="283"/>
    </row>
    <row r="601" spans="1:1" x14ac:dyDescent="0.2">
      <c r="A601" s="283"/>
    </row>
    <row r="602" spans="1:1" x14ac:dyDescent="0.2">
      <c r="A602" s="283"/>
    </row>
    <row r="603" spans="1:1" x14ac:dyDescent="0.2">
      <c r="A603" s="283"/>
    </row>
    <row r="604" spans="1:1" x14ac:dyDescent="0.2">
      <c r="A604" s="283"/>
    </row>
    <row r="605" spans="1:1" x14ac:dyDescent="0.2">
      <c r="A605" s="283"/>
    </row>
    <row r="606" spans="1:1" x14ac:dyDescent="0.2">
      <c r="A606" s="283"/>
    </row>
    <row r="607" spans="1:1" x14ac:dyDescent="0.2">
      <c r="A607" s="283"/>
    </row>
    <row r="608" spans="1:1" x14ac:dyDescent="0.2">
      <c r="A608" s="283"/>
    </row>
    <row r="609" spans="1:1" x14ac:dyDescent="0.2">
      <c r="A609" s="283"/>
    </row>
    <row r="610" spans="1:1" x14ac:dyDescent="0.2">
      <c r="A610" s="283"/>
    </row>
    <row r="611" spans="1:1" x14ac:dyDescent="0.2">
      <c r="A611" s="283"/>
    </row>
    <row r="612" spans="1:1" x14ac:dyDescent="0.2">
      <c r="A612" s="283"/>
    </row>
    <row r="613" spans="1:1" x14ac:dyDescent="0.2">
      <c r="A613" s="283"/>
    </row>
    <row r="614" spans="1:1" x14ac:dyDescent="0.2">
      <c r="A614" s="283"/>
    </row>
    <row r="615" spans="1:1" x14ac:dyDescent="0.2">
      <c r="A615" s="283"/>
    </row>
    <row r="616" spans="1:1" x14ac:dyDescent="0.2">
      <c r="A616" s="283"/>
    </row>
    <row r="617" spans="1:1" x14ac:dyDescent="0.2">
      <c r="A617" s="283"/>
    </row>
    <row r="618" spans="1:1" x14ac:dyDescent="0.2">
      <c r="A618" s="283"/>
    </row>
    <row r="619" spans="1:1" x14ac:dyDescent="0.2">
      <c r="A619" s="283"/>
    </row>
    <row r="620" spans="1:1" x14ac:dyDescent="0.2">
      <c r="A620" s="283"/>
    </row>
    <row r="621" spans="1:1" x14ac:dyDescent="0.2">
      <c r="A621" s="283"/>
    </row>
    <row r="622" spans="1:1" x14ac:dyDescent="0.2">
      <c r="A622" s="283"/>
    </row>
    <row r="623" spans="1:1" x14ac:dyDescent="0.2">
      <c r="A623" s="283"/>
    </row>
    <row r="624" spans="1:1" x14ac:dyDescent="0.2">
      <c r="A624" s="283"/>
    </row>
    <row r="625" spans="1:1" x14ac:dyDescent="0.2">
      <c r="A625" s="283"/>
    </row>
    <row r="626" spans="1:1" x14ac:dyDescent="0.2">
      <c r="A626" s="283"/>
    </row>
    <row r="627" spans="1:1" x14ac:dyDescent="0.2">
      <c r="A627" s="283"/>
    </row>
    <row r="628" spans="1:1" x14ac:dyDescent="0.2">
      <c r="A628" s="283"/>
    </row>
    <row r="629" spans="1:1" x14ac:dyDescent="0.2">
      <c r="A629" s="283"/>
    </row>
    <row r="630" spans="1:1" x14ac:dyDescent="0.2">
      <c r="A630" s="283"/>
    </row>
    <row r="631" spans="1:1" x14ac:dyDescent="0.2">
      <c r="A631" s="283"/>
    </row>
    <row r="632" spans="1:1" x14ac:dyDescent="0.2">
      <c r="A632" s="283"/>
    </row>
    <row r="633" spans="1:1" x14ac:dyDescent="0.2">
      <c r="A633" s="283"/>
    </row>
    <row r="634" spans="1:1" x14ac:dyDescent="0.2">
      <c r="A634" s="283"/>
    </row>
    <row r="635" spans="1:1" x14ac:dyDescent="0.2">
      <c r="A635" s="283"/>
    </row>
    <row r="636" spans="1:1" x14ac:dyDescent="0.2">
      <c r="A636" s="283"/>
    </row>
    <row r="637" spans="1:1" x14ac:dyDescent="0.2">
      <c r="A637" s="283"/>
    </row>
    <row r="638" spans="1:1" x14ac:dyDescent="0.2">
      <c r="A638" s="283"/>
    </row>
    <row r="639" spans="1:1" x14ac:dyDescent="0.2">
      <c r="A639" s="283"/>
    </row>
    <row r="640" spans="1:1" x14ac:dyDescent="0.2">
      <c r="A640" s="283"/>
    </row>
    <row r="641" spans="1:1" x14ac:dyDescent="0.2">
      <c r="A641" s="283"/>
    </row>
    <row r="642" spans="1:1" x14ac:dyDescent="0.2">
      <c r="A642" s="283"/>
    </row>
    <row r="643" spans="1:1" x14ac:dyDescent="0.2">
      <c r="A643" s="283"/>
    </row>
    <row r="644" spans="1:1" x14ac:dyDescent="0.2">
      <c r="A644" s="283"/>
    </row>
    <row r="645" spans="1:1" x14ac:dyDescent="0.2">
      <c r="A645" s="283"/>
    </row>
    <row r="646" spans="1:1" x14ac:dyDescent="0.2">
      <c r="A646" s="283"/>
    </row>
    <row r="647" spans="1:1" x14ac:dyDescent="0.2">
      <c r="A647" s="283"/>
    </row>
    <row r="648" spans="1:1" x14ac:dyDescent="0.2">
      <c r="A648" s="283"/>
    </row>
    <row r="649" spans="1:1" x14ac:dyDescent="0.2">
      <c r="A649" s="283"/>
    </row>
    <row r="650" spans="1:1" x14ac:dyDescent="0.2">
      <c r="A650" s="283"/>
    </row>
    <row r="651" spans="1:1" x14ac:dyDescent="0.2">
      <c r="A651" s="283"/>
    </row>
    <row r="652" spans="1:1" x14ac:dyDescent="0.2">
      <c r="A652" s="283"/>
    </row>
    <row r="653" spans="1:1" x14ac:dyDescent="0.2">
      <c r="A653" s="283"/>
    </row>
    <row r="654" spans="1:1" x14ac:dyDescent="0.2">
      <c r="A654" s="283"/>
    </row>
    <row r="655" spans="1:1" x14ac:dyDescent="0.2">
      <c r="A655" s="283"/>
    </row>
    <row r="656" spans="1:1" x14ac:dyDescent="0.2">
      <c r="A656" s="283"/>
    </row>
    <row r="657" spans="1:1" x14ac:dyDescent="0.2">
      <c r="A657" s="283"/>
    </row>
    <row r="658" spans="1:1" x14ac:dyDescent="0.2">
      <c r="A658" s="283"/>
    </row>
    <row r="659" spans="1:1" x14ac:dyDescent="0.2">
      <c r="A659" s="283"/>
    </row>
    <row r="660" spans="1:1" x14ac:dyDescent="0.2">
      <c r="A660" s="283"/>
    </row>
    <row r="661" spans="1:1" x14ac:dyDescent="0.2">
      <c r="A661" s="283"/>
    </row>
    <row r="662" spans="1:1" x14ac:dyDescent="0.2">
      <c r="A662" s="283"/>
    </row>
    <row r="663" spans="1:1" x14ac:dyDescent="0.2">
      <c r="A663" s="283"/>
    </row>
    <row r="664" spans="1:1" x14ac:dyDescent="0.2">
      <c r="A664" s="283"/>
    </row>
    <row r="665" spans="1:1" x14ac:dyDescent="0.2">
      <c r="A665" s="283"/>
    </row>
    <row r="666" spans="1:1" x14ac:dyDescent="0.2">
      <c r="A666" s="283"/>
    </row>
    <row r="667" spans="1:1" x14ac:dyDescent="0.2">
      <c r="A667" s="283"/>
    </row>
    <row r="668" spans="1:1" x14ac:dyDescent="0.2">
      <c r="A668" s="283"/>
    </row>
    <row r="669" spans="1:1" x14ac:dyDescent="0.2">
      <c r="A669" s="283"/>
    </row>
    <row r="670" spans="1:1" x14ac:dyDescent="0.2">
      <c r="A670" s="283"/>
    </row>
    <row r="671" spans="1:1" x14ac:dyDescent="0.2">
      <c r="A671" s="283"/>
    </row>
    <row r="672" spans="1:1" x14ac:dyDescent="0.2">
      <c r="A672" s="283"/>
    </row>
    <row r="673" spans="1:1" x14ac:dyDescent="0.2">
      <c r="A673" s="283"/>
    </row>
    <row r="674" spans="1:1" x14ac:dyDescent="0.2">
      <c r="A674" s="283"/>
    </row>
    <row r="675" spans="1:1" x14ac:dyDescent="0.2">
      <c r="A675" s="283"/>
    </row>
    <row r="676" spans="1:1" x14ac:dyDescent="0.2">
      <c r="A676" s="283"/>
    </row>
    <row r="677" spans="1:1" x14ac:dyDescent="0.2">
      <c r="A677" s="283"/>
    </row>
    <row r="678" spans="1:1" x14ac:dyDescent="0.2">
      <c r="A678" s="283"/>
    </row>
    <row r="679" spans="1:1" x14ac:dyDescent="0.2">
      <c r="A679" s="283"/>
    </row>
    <row r="680" spans="1:1" x14ac:dyDescent="0.2">
      <c r="A680" s="283"/>
    </row>
    <row r="681" spans="1:1" x14ac:dyDescent="0.2">
      <c r="A681" s="283"/>
    </row>
    <row r="682" spans="1:1" x14ac:dyDescent="0.2">
      <c r="A682" s="283"/>
    </row>
    <row r="683" spans="1:1" x14ac:dyDescent="0.2">
      <c r="A683" s="283"/>
    </row>
    <row r="684" spans="1:1" x14ac:dyDescent="0.2">
      <c r="A684" s="283"/>
    </row>
    <row r="685" spans="1:1" x14ac:dyDescent="0.2">
      <c r="A685" s="283"/>
    </row>
    <row r="686" spans="1:1" x14ac:dyDescent="0.2">
      <c r="A686" s="283"/>
    </row>
    <row r="687" spans="1:1" x14ac:dyDescent="0.2">
      <c r="A687" s="283"/>
    </row>
    <row r="688" spans="1:1" x14ac:dyDescent="0.2">
      <c r="A688" s="283"/>
    </row>
    <row r="689" spans="1:1" x14ac:dyDescent="0.2">
      <c r="A689" s="283"/>
    </row>
    <row r="690" spans="1:1" x14ac:dyDescent="0.2">
      <c r="A690" s="283"/>
    </row>
    <row r="691" spans="1:1" x14ac:dyDescent="0.2">
      <c r="A691" s="283"/>
    </row>
    <row r="692" spans="1:1" x14ac:dyDescent="0.2">
      <c r="A692" s="283"/>
    </row>
    <row r="693" spans="1:1" x14ac:dyDescent="0.2">
      <c r="A693" s="283"/>
    </row>
    <row r="694" spans="1:1" x14ac:dyDescent="0.2">
      <c r="A694" s="283"/>
    </row>
    <row r="695" spans="1:1" x14ac:dyDescent="0.2">
      <c r="A695" s="283"/>
    </row>
    <row r="696" spans="1:1" x14ac:dyDescent="0.2">
      <c r="A696" s="283"/>
    </row>
    <row r="697" spans="1:1" x14ac:dyDescent="0.2">
      <c r="A697" s="283"/>
    </row>
    <row r="698" spans="1:1" x14ac:dyDescent="0.2">
      <c r="A698" s="283"/>
    </row>
    <row r="699" spans="1:1" x14ac:dyDescent="0.2">
      <c r="A699" s="283"/>
    </row>
    <row r="700" spans="1:1" x14ac:dyDescent="0.2">
      <c r="A700" s="283"/>
    </row>
    <row r="701" spans="1:1" x14ac:dyDescent="0.2">
      <c r="A701" s="283"/>
    </row>
    <row r="702" spans="1:1" x14ac:dyDescent="0.2">
      <c r="A702" s="283"/>
    </row>
    <row r="703" spans="1:1" x14ac:dyDescent="0.2">
      <c r="A703" s="283"/>
    </row>
    <row r="704" spans="1:1" x14ac:dyDescent="0.2">
      <c r="A704" s="283"/>
    </row>
    <row r="705" spans="1:1" x14ac:dyDescent="0.2">
      <c r="A705" s="283"/>
    </row>
    <row r="706" spans="1:1" x14ac:dyDescent="0.2">
      <c r="A706" s="283"/>
    </row>
    <row r="707" spans="1:1" x14ac:dyDescent="0.2">
      <c r="A707" s="283"/>
    </row>
    <row r="708" spans="1:1" x14ac:dyDescent="0.2">
      <c r="A708" s="283"/>
    </row>
    <row r="709" spans="1:1" x14ac:dyDescent="0.2">
      <c r="A709" s="283"/>
    </row>
    <row r="710" spans="1:1" x14ac:dyDescent="0.2">
      <c r="A710" s="283"/>
    </row>
    <row r="711" spans="1:1" x14ac:dyDescent="0.2">
      <c r="A711" s="283"/>
    </row>
    <row r="712" spans="1:1" x14ac:dyDescent="0.2">
      <c r="A712" s="283"/>
    </row>
    <row r="713" spans="1:1" x14ac:dyDescent="0.2">
      <c r="A713" s="283"/>
    </row>
    <row r="714" spans="1:1" x14ac:dyDescent="0.2">
      <c r="A714" s="283"/>
    </row>
    <row r="715" spans="1:1" x14ac:dyDescent="0.2">
      <c r="A715" s="283"/>
    </row>
    <row r="716" spans="1:1" x14ac:dyDescent="0.2">
      <c r="A716" s="283"/>
    </row>
    <row r="717" spans="1:1" x14ac:dyDescent="0.2">
      <c r="A717" s="283"/>
    </row>
    <row r="718" spans="1:1" x14ac:dyDescent="0.2">
      <c r="A718" s="283"/>
    </row>
    <row r="719" spans="1:1" x14ac:dyDescent="0.2">
      <c r="A719" s="283"/>
    </row>
    <row r="720" spans="1:1" x14ac:dyDescent="0.2">
      <c r="A720" s="283"/>
    </row>
    <row r="721" spans="1:1" x14ac:dyDescent="0.2">
      <c r="A721" s="283"/>
    </row>
    <row r="722" spans="1:1" x14ac:dyDescent="0.2">
      <c r="A722" s="283"/>
    </row>
    <row r="723" spans="1:1" x14ac:dyDescent="0.2">
      <c r="A723" s="283"/>
    </row>
    <row r="724" spans="1:1" x14ac:dyDescent="0.2">
      <c r="A724" s="283"/>
    </row>
    <row r="725" spans="1:1" x14ac:dyDescent="0.2">
      <c r="A725" s="283"/>
    </row>
    <row r="726" spans="1:1" x14ac:dyDescent="0.2">
      <c r="A726" s="283"/>
    </row>
    <row r="727" spans="1:1" x14ac:dyDescent="0.2">
      <c r="A727" s="283"/>
    </row>
    <row r="728" spans="1:1" x14ac:dyDescent="0.2">
      <c r="A728" s="283"/>
    </row>
    <row r="729" spans="1:1" x14ac:dyDescent="0.2">
      <c r="A729" s="283"/>
    </row>
    <row r="730" spans="1:1" x14ac:dyDescent="0.2">
      <c r="A730" s="283"/>
    </row>
    <row r="731" spans="1:1" x14ac:dyDescent="0.2">
      <c r="A731" s="283"/>
    </row>
    <row r="732" spans="1:1" x14ac:dyDescent="0.2">
      <c r="A732" s="283"/>
    </row>
    <row r="733" spans="1:1" x14ac:dyDescent="0.2">
      <c r="A733" s="283"/>
    </row>
    <row r="734" spans="1:1" x14ac:dyDescent="0.2">
      <c r="A734" s="283"/>
    </row>
    <row r="735" spans="1:1" x14ac:dyDescent="0.2">
      <c r="A735" s="283"/>
    </row>
    <row r="736" spans="1:1" x14ac:dyDescent="0.2">
      <c r="A736" s="283"/>
    </row>
    <row r="737" spans="1:1" x14ac:dyDescent="0.2">
      <c r="A737" s="283"/>
    </row>
    <row r="738" spans="1:1" x14ac:dyDescent="0.2">
      <c r="A738" s="283"/>
    </row>
    <row r="739" spans="1:1" x14ac:dyDescent="0.2">
      <c r="A739" s="283"/>
    </row>
    <row r="740" spans="1:1" x14ac:dyDescent="0.2">
      <c r="A740" s="283"/>
    </row>
    <row r="741" spans="1:1" x14ac:dyDescent="0.2">
      <c r="A741" s="283"/>
    </row>
    <row r="742" spans="1:1" x14ac:dyDescent="0.2">
      <c r="A742" s="283"/>
    </row>
    <row r="743" spans="1:1" x14ac:dyDescent="0.2">
      <c r="A743" s="283"/>
    </row>
    <row r="744" spans="1:1" x14ac:dyDescent="0.2">
      <c r="A744" s="283"/>
    </row>
    <row r="745" spans="1:1" x14ac:dyDescent="0.2">
      <c r="A745" s="283"/>
    </row>
    <row r="746" spans="1:1" x14ac:dyDescent="0.2">
      <c r="A746" s="283"/>
    </row>
    <row r="747" spans="1:1" x14ac:dyDescent="0.2">
      <c r="A747" s="283"/>
    </row>
    <row r="748" spans="1:1" x14ac:dyDescent="0.2">
      <c r="A748" s="283"/>
    </row>
    <row r="749" spans="1:1" x14ac:dyDescent="0.2">
      <c r="A749" s="283"/>
    </row>
    <row r="750" spans="1:1" x14ac:dyDescent="0.2">
      <c r="A750" s="283"/>
    </row>
    <row r="751" spans="1:1" x14ac:dyDescent="0.2">
      <c r="A751" s="283"/>
    </row>
    <row r="752" spans="1:1" x14ac:dyDescent="0.2">
      <c r="A752" s="283"/>
    </row>
    <row r="753" spans="1:1" x14ac:dyDescent="0.2">
      <c r="A753" s="283"/>
    </row>
    <row r="754" spans="1:1" x14ac:dyDescent="0.2">
      <c r="A754" s="283"/>
    </row>
    <row r="755" spans="1:1" x14ac:dyDescent="0.2">
      <c r="A755" s="283"/>
    </row>
    <row r="756" spans="1:1" x14ac:dyDescent="0.2">
      <c r="A756" s="283"/>
    </row>
    <row r="757" spans="1:1" x14ac:dyDescent="0.2">
      <c r="A757" s="283"/>
    </row>
    <row r="758" spans="1:1" x14ac:dyDescent="0.2">
      <c r="A758" s="283"/>
    </row>
    <row r="759" spans="1:1" x14ac:dyDescent="0.2">
      <c r="A759" s="283"/>
    </row>
    <row r="760" spans="1:1" x14ac:dyDescent="0.2">
      <c r="A760" s="283"/>
    </row>
    <row r="761" spans="1:1" x14ac:dyDescent="0.2">
      <c r="A761" s="283"/>
    </row>
    <row r="762" spans="1:1" x14ac:dyDescent="0.2">
      <c r="A762" s="283"/>
    </row>
    <row r="763" spans="1:1" x14ac:dyDescent="0.2">
      <c r="A763" s="283"/>
    </row>
    <row r="764" spans="1:1" x14ac:dyDescent="0.2">
      <c r="A764" s="283"/>
    </row>
    <row r="765" spans="1:1" x14ac:dyDescent="0.2">
      <c r="A765" s="283"/>
    </row>
    <row r="766" spans="1:1" x14ac:dyDescent="0.2">
      <c r="A766" s="283"/>
    </row>
    <row r="767" spans="1:1" x14ac:dyDescent="0.2">
      <c r="A767" s="283"/>
    </row>
    <row r="768" spans="1:1" x14ac:dyDescent="0.2">
      <c r="A768" s="283"/>
    </row>
    <row r="769" spans="1:1" x14ac:dyDescent="0.2">
      <c r="A769" s="283"/>
    </row>
    <row r="770" spans="1:1" x14ac:dyDescent="0.2">
      <c r="A770" s="283"/>
    </row>
    <row r="771" spans="1:1" x14ac:dyDescent="0.2">
      <c r="A771" s="283"/>
    </row>
    <row r="772" spans="1:1" x14ac:dyDescent="0.2">
      <c r="A772" s="283"/>
    </row>
    <row r="773" spans="1:1" x14ac:dyDescent="0.2">
      <c r="A773" s="283"/>
    </row>
    <row r="774" spans="1:1" x14ac:dyDescent="0.2">
      <c r="A774" s="283"/>
    </row>
    <row r="775" spans="1:1" x14ac:dyDescent="0.2">
      <c r="A775" s="283"/>
    </row>
    <row r="776" spans="1:1" x14ac:dyDescent="0.2">
      <c r="A776" s="283"/>
    </row>
    <row r="777" spans="1:1" x14ac:dyDescent="0.2">
      <c r="A777" s="283"/>
    </row>
    <row r="778" spans="1:1" x14ac:dyDescent="0.2">
      <c r="A778" s="283"/>
    </row>
    <row r="779" spans="1:1" x14ac:dyDescent="0.2">
      <c r="A779" s="283"/>
    </row>
    <row r="780" spans="1:1" x14ac:dyDescent="0.2">
      <c r="A780" s="283"/>
    </row>
    <row r="781" spans="1:1" x14ac:dyDescent="0.2">
      <c r="A781" s="283"/>
    </row>
    <row r="782" spans="1:1" x14ac:dyDescent="0.2">
      <c r="A782" s="283"/>
    </row>
    <row r="783" spans="1:1" x14ac:dyDescent="0.2">
      <c r="A783" s="283"/>
    </row>
    <row r="784" spans="1:1" x14ac:dyDescent="0.2">
      <c r="A784" s="283"/>
    </row>
    <row r="785" spans="1:1" x14ac:dyDescent="0.2">
      <c r="A785" s="283"/>
    </row>
    <row r="786" spans="1:1" x14ac:dyDescent="0.2">
      <c r="A786" s="283"/>
    </row>
    <row r="787" spans="1:1" x14ac:dyDescent="0.2">
      <c r="A787" s="283"/>
    </row>
    <row r="788" spans="1:1" x14ac:dyDescent="0.2">
      <c r="A788" s="283"/>
    </row>
    <row r="789" spans="1:1" x14ac:dyDescent="0.2">
      <c r="A789" s="283"/>
    </row>
    <row r="790" spans="1:1" x14ac:dyDescent="0.2">
      <c r="A790" s="283"/>
    </row>
    <row r="791" spans="1:1" x14ac:dyDescent="0.2">
      <c r="A791" s="283"/>
    </row>
    <row r="792" spans="1:1" x14ac:dyDescent="0.2">
      <c r="A792" s="283"/>
    </row>
    <row r="793" spans="1:1" x14ac:dyDescent="0.2">
      <c r="A793" s="283"/>
    </row>
    <row r="794" spans="1:1" x14ac:dyDescent="0.2">
      <c r="A794" s="283"/>
    </row>
    <row r="795" spans="1:1" x14ac:dyDescent="0.2">
      <c r="A795" s="283"/>
    </row>
    <row r="796" spans="1:1" x14ac:dyDescent="0.2">
      <c r="A796" s="283"/>
    </row>
    <row r="797" spans="1:1" x14ac:dyDescent="0.2">
      <c r="A797" s="283"/>
    </row>
    <row r="798" spans="1:1" x14ac:dyDescent="0.2">
      <c r="A798" s="283"/>
    </row>
    <row r="799" spans="1:1" x14ac:dyDescent="0.2">
      <c r="A799" s="283"/>
    </row>
    <row r="800" spans="1:1" x14ac:dyDescent="0.2">
      <c r="A800" s="283"/>
    </row>
    <row r="801" spans="1:1" x14ac:dyDescent="0.2">
      <c r="A801" s="283"/>
    </row>
    <row r="802" spans="1:1" x14ac:dyDescent="0.2">
      <c r="A802" s="283"/>
    </row>
    <row r="803" spans="1:1" x14ac:dyDescent="0.2">
      <c r="A803" s="283"/>
    </row>
    <row r="804" spans="1:1" x14ac:dyDescent="0.2">
      <c r="A804" s="283"/>
    </row>
    <row r="805" spans="1:1" x14ac:dyDescent="0.2">
      <c r="A805" s="283"/>
    </row>
    <row r="806" spans="1:1" x14ac:dyDescent="0.2">
      <c r="A806" s="283"/>
    </row>
    <row r="807" spans="1:1" x14ac:dyDescent="0.2">
      <c r="A807" s="283"/>
    </row>
    <row r="808" spans="1:1" x14ac:dyDescent="0.2">
      <c r="A808" s="283"/>
    </row>
    <row r="809" spans="1:1" x14ac:dyDescent="0.2">
      <c r="A809" s="283"/>
    </row>
    <row r="810" spans="1:1" x14ac:dyDescent="0.2">
      <c r="A810" s="283"/>
    </row>
    <row r="811" spans="1:1" x14ac:dyDescent="0.2">
      <c r="A811" s="283"/>
    </row>
    <row r="812" spans="1:1" x14ac:dyDescent="0.2">
      <c r="A812" s="283"/>
    </row>
    <row r="813" spans="1:1" x14ac:dyDescent="0.2">
      <c r="A813" s="283"/>
    </row>
    <row r="814" spans="1:1" x14ac:dyDescent="0.2">
      <c r="A814" s="283"/>
    </row>
    <row r="815" spans="1:1" x14ac:dyDescent="0.2">
      <c r="A815" s="283"/>
    </row>
    <row r="816" spans="1:1" x14ac:dyDescent="0.2">
      <c r="A816" s="283"/>
    </row>
    <row r="817" spans="1:1" x14ac:dyDescent="0.2">
      <c r="A817" s="283"/>
    </row>
    <row r="818" spans="1:1" x14ac:dyDescent="0.2">
      <c r="A818" s="283"/>
    </row>
    <row r="819" spans="1:1" x14ac:dyDescent="0.2">
      <c r="A819" s="283"/>
    </row>
    <row r="820" spans="1:1" x14ac:dyDescent="0.2">
      <c r="A820" s="283"/>
    </row>
    <row r="821" spans="1:1" x14ac:dyDescent="0.2">
      <c r="A821" s="283"/>
    </row>
    <row r="822" spans="1:1" x14ac:dyDescent="0.2">
      <c r="A822" s="283"/>
    </row>
    <row r="823" spans="1:1" x14ac:dyDescent="0.2">
      <c r="A823" s="283"/>
    </row>
    <row r="824" spans="1:1" x14ac:dyDescent="0.2">
      <c r="A824" s="283"/>
    </row>
    <row r="825" spans="1:1" x14ac:dyDescent="0.2">
      <c r="A825" s="283"/>
    </row>
    <row r="826" spans="1:1" x14ac:dyDescent="0.2">
      <c r="A826" s="283"/>
    </row>
    <row r="827" spans="1:1" x14ac:dyDescent="0.2">
      <c r="A827" s="283"/>
    </row>
    <row r="828" spans="1:1" x14ac:dyDescent="0.2">
      <c r="A828" s="283"/>
    </row>
    <row r="829" spans="1:1" x14ac:dyDescent="0.2">
      <c r="A829" s="283"/>
    </row>
    <row r="830" spans="1:1" x14ac:dyDescent="0.2">
      <c r="A830" s="283"/>
    </row>
    <row r="831" spans="1:1" x14ac:dyDescent="0.2">
      <c r="A831" s="283"/>
    </row>
    <row r="832" spans="1:1" x14ac:dyDescent="0.2">
      <c r="A832" s="283"/>
    </row>
    <row r="833" spans="1:1" x14ac:dyDescent="0.2">
      <c r="A833" s="283"/>
    </row>
    <row r="834" spans="1:1" x14ac:dyDescent="0.2">
      <c r="A834" s="283"/>
    </row>
    <row r="835" spans="1:1" x14ac:dyDescent="0.2">
      <c r="A835" s="283"/>
    </row>
    <row r="836" spans="1:1" x14ac:dyDescent="0.2">
      <c r="A836" s="283"/>
    </row>
    <row r="837" spans="1:1" x14ac:dyDescent="0.2">
      <c r="A837" s="283"/>
    </row>
    <row r="838" spans="1:1" x14ac:dyDescent="0.2">
      <c r="A838" s="283"/>
    </row>
    <row r="839" spans="1:1" x14ac:dyDescent="0.2">
      <c r="A839" s="283"/>
    </row>
    <row r="840" spans="1:1" x14ac:dyDescent="0.2">
      <c r="A840" s="283"/>
    </row>
    <row r="841" spans="1:1" x14ac:dyDescent="0.2">
      <c r="A841" s="283"/>
    </row>
    <row r="842" spans="1:1" x14ac:dyDescent="0.2">
      <c r="A842" s="283"/>
    </row>
    <row r="843" spans="1:1" x14ac:dyDescent="0.2">
      <c r="A843" s="283"/>
    </row>
    <row r="844" spans="1:1" x14ac:dyDescent="0.2">
      <c r="A844" s="283"/>
    </row>
    <row r="845" spans="1:1" x14ac:dyDescent="0.2">
      <c r="A845" s="283"/>
    </row>
    <row r="846" spans="1:1" x14ac:dyDescent="0.2">
      <c r="A846" s="283"/>
    </row>
    <row r="847" spans="1:1" x14ac:dyDescent="0.2">
      <c r="A847" s="283"/>
    </row>
    <row r="848" spans="1:1" x14ac:dyDescent="0.2">
      <c r="A848" s="283"/>
    </row>
    <row r="849" spans="1:1" x14ac:dyDescent="0.2">
      <c r="A849" s="283"/>
    </row>
    <row r="850" spans="1:1" x14ac:dyDescent="0.2">
      <c r="A850" s="283"/>
    </row>
    <row r="851" spans="1:1" x14ac:dyDescent="0.2">
      <c r="A851" s="283"/>
    </row>
    <row r="852" spans="1:1" x14ac:dyDescent="0.2">
      <c r="A852" s="283"/>
    </row>
    <row r="853" spans="1:1" x14ac:dyDescent="0.2">
      <c r="A853" s="283"/>
    </row>
    <row r="854" spans="1:1" x14ac:dyDescent="0.2">
      <c r="A854" s="283"/>
    </row>
    <row r="855" spans="1:1" x14ac:dyDescent="0.2">
      <c r="A855" s="283"/>
    </row>
    <row r="856" spans="1:1" x14ac:dyDescent="0.2">
      <c r="A856" s="283"/>
    </row>
    <row r="857" spans="1:1" x14ac:dyDescent="0.2">
      <c r="A857" s="283"/>
    </row>
    <row r="858" spans="1:1" x14ac:dyDescent="0.2">
      <c r="A858" s="283"/>
    </row>
    <row r="859" spans="1:1" x14ac:dyDescent="0.2">
      <c r="A859" s="283"/>
    </row>
    <row r="860" spans="1:1" x14ac:dyDescent="0.2">
      <c r="A860" s="283"/>
    </row>
    <row r="861" spans="1:1" x14ac:dyDescent="0.2">
      <c r="A861" s="283"/>
    </row>
    <row r="862" spans="1:1" x14ac:dyDescent="0.2">
      <c r="A862" s="283"/>
    </row>
    <row r="863" spans="1:1" x14ac:dyDescent="0.2">
      <c r="A863" s="283"/>
    </row>
    <row r="864" spans="1:1" x14ac:dyDescent="0.2">
      <c r="A864" s="283"/>
    </row>
    <row r="865" spans="1:1" x14ac:dyDescent="0.2">
      <c r="A865" s="283"/>
    </row>
    <row r="866" spans="1:1" x14ac:dyDescent="0.2">
      <c r="A866" s="283"/>
    </row>
    <row r="867" spans="1:1" x14ac:dyDescent="0.2">
      <c r="A867" s="283"/>
    </row>
    <row r="868" spans="1:1" x14ac:dyDescent="0.2">
      <c r="A868" s="283"/>
    </row>
    <row r="869" spans="1:1" x14ac:dyDescent="0.2">
      <c r="A869" s="283"/>
    </row>
    <row r="870" spans="1:1" x14ac:dyDescent="0.2">
      <c r="A870" s="283"/>
    </row>
    <row r="871" spans="1:1" x14ac:dyDescent="0.2">
      <c r="A871" s="283"/>
    </row>
    <row r="872" spans="1:1" x14ac:dyDescent="0.2">
      <c r="A872" s="283"/>
    </row>
    <row r="873" spans="1:1" x14ac:dyDescent="0.2">
      <c r="A873" s="283"/>
    </row>
    <row r="874" spans="1:1" x14ac:dyDescent="0.2">
      <c r="A874" s="283"/>
    </row>
    <row r="875" spans="1:1" x14ac:dyDescent="0.2">
      <c r="A875" s="283"/>
    </row>
    <row r="876" spans="1:1" x14ac:dyDescent="0.2">
      <c r="A876" s="283"/>
    </row>
    <row r="877" spans="1:1" x14ac:dyDescent="0.2">
      <c r="A877" s="283"/>
    </row>
    <row r="878" spans="1:1" x14ac:dyDescent="0.2">
      <c r="A878" s="283"/>
    </row>
    <row r="879" spans="1:1" x14ac:dyDescent="0.2">
      <c r="A879" s="283"/>
    </row>
    <row r="880" spans="1:1" x14ac:dyDescent="0.2">
      <c r="A880" s="283"/>
    </row>
    <row r="881" spans="1:1" x14ac:dyDescent="0.2">
      <c r="A881" s="283"/>
    </row>
    <row r="882" spans="1:1" x14ac:dyDescent="0.2">
      <c r="A882" s="283"/>
    </row>
    <row r="883" spans="1:1" x14ac:dyDescent="0.2">
      <c r="A883" s="283"/>
    </row>
    <row r="884" spans="1:1" x14ac:dyDescent="0.2">
      <c r="A884" s="283"/>
    </row>
    <row r="885" spans="1:1" x14ac:dyDescent="0.2">
      <c r="A885" s="283"/>
    </row>
    <row r="886" spans="1:1" x14ac:dyDescent="0.2">
      <c r="A886" s="283"/>
    </row>
    <row r="887" spans="1:1" x14ac:dyDescent="0.2">
      <c r="A887" s="283"/>
    </row>
    <row r="888" spans="1:1" x14ac:dyDescent="0.2">
      <c r="A888" s="283"/>
    </row>
    <row r="889" spans="1:1" x14ac:dyDescent="0.2">
      <c r="A889" s="283"/>
    </row>
    <row r="890" spans="1:1" x14ac:dyDescent="0.2">
      <c r="A890" s="283"/>
    </row>
    <row r="891" spans="1:1" x14ac:dyDescent="0.2">
      <c r="A891" s="283"/>
    </row>
    <row r="892" spans="1:1" x14ac:dyDescent="0.2">
      <c r="A892" s="283"/>
    </row>
    <row r="893" spans="1:1" x14ac:dyDescent="0.2">
      <c r="A893" s="283"/>
    </row>
    <row r="894" spans="1:1" x14ac:dyDescent="0.2">
      <c r="A894" s="283"/>
    </row>
    <row r="895" spans="1:1" x14ac:dyDescent="0.2">
      <c r="A895" s="283"/>
    </row>
    <row r="896" spans="1:1" x14ac:dyDescent="0.2">
      <c r="A896" s="283"/>
    </row>
    <row r="897" spans="1:1" x14ac:dyDescent="0.2">
      <c r="A897" s="283"/>
    </row>
    <row r="898" spans="1:1" x14ac:dyDescent="0.2">
      <c r="A898" s="283"/>
    </row>
    <row r="899" spans="1:1" x14ac:dyDescent="0.2">
      <c r="A899" s="283"/>
    </row>
    <row r="900" spans="1:1" x14ac:dyDescent="0.2">
      <c r="A900" s="283"/>
    </row>
    <row r="901" spans="1:1" x14ac:dyDescent="0.2">
      <c r="A901" s="283"/>
    </row>
    <row r="902" spans="1:1" x14ac:dyDescent="0.2">
      <c r="A902" s="283"/>
    </row>
    <row r="903" spans="1:1" x14ac:dyDescent="0.2">
      <c r="A903" s="283"/>
    </row>
    <row r="904" spans="1:1" x14ac:dyDescent="0.2">
      <c r="A904" s="283"/>
    </row>
    <row r="905" spans="1:1" x14ac:dyDescent="0.2">
      <c r="A905" s="283"/>
    </row>
    <row r="906" spans="1:1" x14ac:dyDescent="0.2">
      <c r="A906" s="283"/>
    </row>
    <row r="907" spans="1:1" x14ac:dyDescent="0.2">
      <c r="A907" s="283"/>
    </row>
    <row r="908" spans="1:1" x14ac:dyDescent="0.2">
      <c r="A908" s="283"/>
    </row>
    <row r="909" spans="1:1" x14ac:dyDescent="0.2">
      <c r="A909" s="283"/>
    </row>
    <row r="910" spans="1:1" x14ac:dyDescent="0.2">
      <c r="A910" s="283"/>
    </row>
    <row r="911" spans="1:1" x14ac:dyDescent="0.2">
      <c r="A911" s="283"/>
    </row>
    <row r="912" spans="1:1" x14ac:dyDescent="0.2">
      <c r="A912" s="283"/>
    </row>
    <row r="913" spans="1:1" x14ac:dyDescent="0.2">
      <c r="A913" s="283"/>
    </row>
    <row r="914" spans="1:1" x14ac:dyDescent="0.2">
      <c r="A914" s="283"/>
    </row>
    <row r="915" spans="1:1" x14ac:dyDescent="0.2">
      <c r="A915" s="283"/>
    </row>
    <row r="916" spans="1:1" x14ac:dyDescent="0.2">
      <c r="A916" s="283"/>
    </row>
    <row r="917" spans="1:1" x14ac:dyDescent="0.2">
      <c r="A917" s="283"/>
    </row>
    <row r="918" spans="1:1" x14ac:dyDescent="0.2">
      <c r="A918" s="283"/>
    </row>
    <row r="919" spans="1:1" x14ac:dyDescent="0.2">
      <c r="A919" s="283"/>
    </row>
    <row r="920" spans="1:1" x14ac:dyDescent="0.2">
      <c r="A920" s="283"/>
    </row>
    <row r="921" spans="1:1" x14ac:dyDescent="0.2">
      <c r="A921" s="283"/>
    </row>
    <row r="922" spans="1:1" x14ac:dyDescent="0.2">
      <c r="A922" s="283"/>
    </row>
    <row r="923" spans="1:1" x14ac:dyDescent="0.2">
      <c r="A923" s="283"/>
    </row>
    <row r="924" spans="1:1" x14ac:dyDescent="0.2">
      <c r="A924" s="283"/>
    </row>
    <row r="925" spans="1:1" x14ac:dyDescent="0.2">
      <c r="A925" s="283"/>
    </row>
    <row r="926" spans="1:1" x14ac:dyDescent="0.2">
      <c r="A926" s="283"/>
    </row>
    <row r="927" spans="1:1" x14ac:dyDescent="0.2">
      <c r="A927" s="283"/>
    </row>
    <row r="928" spans="1:1" x14ac:dyDescent="0.2">
      <c r="A928" s="283"/>
    </row>
    <row r="929" spans="1:1" x14ac:dyDescent="0.2">
      <c r="A929" s="283"/>
    </row>
    <row r="930" spans="1:1" x14ac:dyDescent="0.2">
      <c r="A930" s="283"/>
    </row>
    <row r="931" spans="1:1" x14ac:dyDescent="0.2">
      <c r="A931" s="283"/>
    </row>
    <row r="932" spans="1:1" x14ac:dyDescent="0.2">
      <c r="A932" s="283"/>
    </row>
    <row r="933" spans="1:1" x14ac:dyDescent="0.2">
      <c r="A933" s="283"/>
    </row>
    <row r="934" spans="1:1" x14ac:dyDescent="0.2">
      <c r="A934" s="283"/>
    </row>
    <row r="935" spans="1:1" x14ac:dyDescent="0.2">
      <c r="A935" s="283"/>
    </row>
    <row r="936" spans="1:1" x14ac:dyDescent="0.2">
      <c r="A936" s="283"/>
    </row>
    <row r="937" spans="1:1" x14ac:dyDescent="0.2">
      <c r="A937" s="283"/>
    </row>
    <row r="938" spans="1:1" x14ac:dyDescent="0.2">
      <c r="A938" s="283"/>
    </row>
    <row r="939" spans="1:1" x14ac:dyDescent="0.2">
      <c r="A939" s="283"/>
    </row>
    <row r="940" spans="1:1" x14ac:dyDescent="0.2">
      <c r="A940" s="283"/>
    </row>
    <row r="941" spans="1:1" x14ac:dyDescent="0.2">
      <c r="A941" s="283"/>
    </row>
    <row r="942" spans="1:1" x14ac:dyDescent="0.2">
      <c r="A942" s="283"/>
    </row>
    <row r="943" spans="1:1" x14ac:dyDescent="0.2">
      <c r="A943" s="283"/>
    </row>
    <row r="944" spans="1:1" x14ac:dyDescent="0.2">
      <c r="A944" s="283"/>
    </row>
    <row r="945" spans="1:1" x14ac:dyDescent="0.2">
      <c r="A945" s="283"/>
    </row>
    <row r="946" spans="1:1" x14ac:dyDescent="0.2">
      <c r="A946" s="283"/>
    </row>
    <row r="947" spans="1:1" x14ac:dyDescent="0.2">
      <c r="A947" s="283"/>
    </row>
    <row r="948" spans="1:1" x14ac:dyDescent="0.2">
      <c r="A948" s="283"/>
    </row>
    <row r="949" spans="1:1" x14ac:dyDescent="0.2">
      <c r="A949" s="283"/>
    </row>
    <row r="950" spans="1:1" x14ac:dyDescent="0.2">
      <c r="A950" s="283"/>
    </row>
    <row r="951" spans="1:1" x14ac:dyDescent="0.2">
      <c r="A951" s="283"/>
    </row>
    <row r="952" spans="1:1" x14ac:dyDescent="0.2">
      <c r="A952" s="283"/>
    </row>
    <row r="953" spans="1:1" x14ac:dyDescent="0.2">
      <c r="A953" s="283"/>
    </row>
    <row r="954" spans="1:1" x14ac:dyDescent="0.2">
      <c r="A954" s="283"/>
    </row>
    <row r="955" spans="1:1" x14ac:dyDescent="0.2">
      <c r="A955" s="283"/>
    </row>
    <row r="956" spans="1:1" x14ac:dyDescent="0.2">
      <c r="A956" s="283"/>
    </row>
    <row r="957" spans="1:1" x14ac:dyDescent="0.2">
      <c r="A957" s="283"/>
    </row>
    <row r="958" spans="1:1" x14ac:dyDescent="0.2">
      <c r="A958" s="283"/>
    </row>
    <row r="959" spans="1:1" x14ac:dyDescent="0.2">
      <c r="A959" s="283"/>
    </row>
    <row r="960" spans="1:1" x14ac:dyDescent="0.2">
      <c r="A960" s="283"/>
    </row>
    <row r="961" spans="1:1" x14ac:dyDescent="0.2">
      <c r="A961" s="283"/>
    </row>
    <row r="962" spans="1:1" x14ac:dyDescent="0.2">
      <c r="A962" s="283"/>
    </row>
    <row r="963" spans="1:1" x14ac:dyDescent="0.2">
      <c r="A963" s="283"/>
    </row>
    <row r="964" spans="1:1" x14ac:dyDescent="0.2">
      <c r="A964" s="283"/>
    </row>
    <row r="965" spans="1:1" x14ac:dyDescent="0.2">
      <c r="A965" s="283"/>
    </row>
    <row r="966" spans="1:1" x14ac:dyDescent="0.2">
      <c r="A966" s="283"/>
    </row>
    <row r="967" spans="1:1" x14ac:dyDescent="0.2">
      <c r="A967" s="283"/>
    </row>
    <row r="968" spans="1:1" x14ac:dyDescent="0.2">
      <c r="A968" s="283"/>
    </row>
    <row r="969" spans="1:1" x14ac:dyDescent="0.2">
      <c r="A969" s="283"/>
    </row>
    <row r="970" spans="1:1" x14ac:dyDescent="0.2">
      <c r="A970" s="283"/>
    </row>
    <row r="971" spans="1:1" x14ac:dyDescent="0.2">
      <c r="A971" s="283"/>
    </row>
    <row r="972" spans="1:1" x14ac:dyDescent="0.2">
      <c r="A972" s="283"/>
    </row>
    <row r="973" spans="1:1" x14ac:dyDescent="0.2">
      <c r="A973" s="283"/>
    </row>
    <row r="974" spans="1:1" x14ac:dyDescent="0.2">
      <c r="A974" s="283"/>
    </row>
    <row r="975" spans="1:1" x14ac:dyDescent="0.2">
      <c r="A975" s="283"/>
    </row>
    <row r="976" spans="1:1" x14ac:dyDescent="0.2">
      <c r="A976" s="283"/>
    </row>
    <row r="977" spans="1:1" x14ac:dyDescent="0.2">
      <c r="A977" s="283"/>
    </row>
    <row r="978" spans="1:1" x14ac:dyDescent="0.2">
      <c r="A978" s="283"/>
    </row>
    <row r="979" spans="1:1" x14ac:dyDescent="0.2">
      <c r="A979" s="283"/>
    </row>
    <row r="980" spans="1:1" x14ac:dyDescent="0.2">
      <c r="A980" s="283"/>
    </row>
    <row r="981" spans="1:1" x14ac:dyDescent="0.2">
      <c r="A981" s="283"/>
    </row>
    <row r="982" spans="1:1" x14ac:dyDescent="0.2">
      <c r="A982" s="283"/>
    </row>
    <row r="983" spans="1:1" x14ac:dyDescent="0.2">
      <c r="A983" s="283"/>
    </row>
    <row r="984" spans="1:1" x14ac:dyDescent="0.2">
      <c r="A984" s="283"/>
    </row>
    <row r="985" spans="1:1" x14ac:dyDescent="0.2">
      <c r="A985" s="283"/>
    </row>
    <row r="986" spans="1:1" x14ac:dyDescent="0.2">
      <c r="A986" s="283"/>
    </row>
    <row r="987" spans="1:1" x14ac:dyDescent="0.2">
      <c r="A987" s="283"/>
    </row>
    <row r="988" spans="1:1" x14ac:dyDescent="0.2">
      <c r="A988" s="283"/>
    </row>
    <row r="989" spans="1:1" x14ac:dyDescent="0.2">
      <c r="A989" s="283"/>
    </row>
    <row r="990" spans="1:1" x14ac:dyDescent="0.2">
      <c r="A990" s="283"/>
    </row>
    <row r="991" spans="1:1" x14ac:dyDescent="0.2">
      <c r="A991" s="283"/>
    </row>
    <row r="992" spans="1:1" x14ac:dyDescent="0.2">
      <c r="A992" s="283"/>
    </row>
    <row r="993" spans="1:1" x14ac:dyDescent="0.2">
      <c r="A993" s="283"/>
    </row>
    <row r="994" spans="1:1" x14ac:dyDescent="0.2">
      <c r="A994" s="283"/>
    </row>
    <row r="995" spans="1:1" x14ac:dyDescent="0.2">
      <c r="A995" s="283"/>
    </row>
    <row r="996" spans="1:1" x14ac:dyDescent="0.2">
      <c r="A996" s="283"/>
    </row>
    <row r="997" spans="1:1" x14ac:dyDescent="0.2">
      <c r="A997" s="283"/>
    </row>
    <row r="998" spans="1:1" x14ac:dyDescent="0.2">
      <c r="A998" s="283"/>
    </row>
    <row r="999" spans="1:1" x14ac:dyDescent="0.2">
      <c r="A999" s="283"/>
    </row>
    <row r="1000" spans="1:1" x14ac:dyDescent="0.2">
      <c r="A1000" s="283"/>
    </row>
    <row r="1001" spans="1:1" x14ac:dyDescent="0.2">
      <c r="A1001" s="283"/>
    </row>
    <row r="1002" spans="1:1" x14ac:dyDescent="0.2">
      <c r="A1002" s="283"/>
    </row>
    <row r="1003" spans="1:1" x14ac:dyDescent="0.2">
      <c r="A1003" s="283"/>
    </row>
    <row r="1004" spans="1:1" x14ac:dyDescent="0.2">
      <c r="A1004" s="283"/>
    </row>
    <row r="1005" spans="1:1" x14ac:dyDescent="0.2">
      <c r="A1005" s="283"/>
    </row>
    <row r="1006" spans="1:1" x14ac:dyDescent="0.2">
      <c r="A1006" s="283"/>
    </row>
    <row r="1007" spans="1:1" x14ac:dyDescent="0.2">
      <c r="A1007" s="283"/>
    </row>
    <row r="1008" spans="1:1" x14ac:dyDescent="0.2">
      <c r="A1008" s="283"/>
    </row>
    <row r="1009" spans="1:1" x14ac:dyDescent="0.2">
      <c r="A1009" s="283"/>
    </row>
    <row r="1010" spans="1:1" x14ac:dyDescent="0.2">
      <c r="A1010" s="283"/>
    </row>
    <row r="1011" spans="1:1" x14ac:dyDescent="0.2">
      <c r="A1011" s="283"/>
    </row>
    <row r="1012" spans="1:1" x14ac:dyDescent="0.2">
      <c r="A1012" s="283"/>
    </row>
    <row r="1013" spans="1:1" x14ac:dyDescent="0.2">
      <c r="A1013" s="283"/>
    </row>
    <row r="1014" spans="1:1" x14ac:dyDescent="0.2">
      <c r="A1014" s="283"/>
    </row>
    <row r="1015" spans="1:1" x14ac:dyDescent="0.2">
      <c r="A1015" s="283"/>
    </row>
    <row r="1016" spans="1:1" x14ac:dyDescent="0.2">
      <c r="A1016" s="283"/>
    </row>
    <row r="1017" spans="1:1" x14ac:dyDescent="0.2">
      <c r="A1017" s="283"/>
    </row>
    <row r="1018" spans="1:1" x14ac:dyDescent="0.2">
      <c r="A1018" s="283"/>
    </row>
    <row r="1019" spans="1:1" x14ac:dyDescent="0.2">
      <c r="A1019" s="283"/>
    </row>
    <row r="1020" spans="1:1" x14ac:dyDescent="0.2">
      <c r="A1020" s="283"/>
    </row>
    <row r="1021" spans="1:1" x14ac:dyDescent="0.2">
      <c r="A1021" s="283"/>
    </row>
    <row r="1022" spans="1:1" x14ac:dyDescent="0.2">
      <c r="A1022" s="283"/>
    </row>
    <row r="1023" spans="1:1" x14ac:dyDescent="0.2">
      <c r="A1023" s="283"/>
    </row>
    <row r="1024" spans="1:1" x14ac:dyDescent="0.2">
      <c r="A1024" s="283"/>
    </row>
    <row r="1025" spans="1:1" x14ac:dyDescent="0.2">
      <c r="A1025" s="283"/>
    </row>
    <row r="1026" spans="1:1" x14ac:dyDescent="0.2">
      <c r="A1026" s="283"/>
    </row>
    <row r="1027" spans="1:1" x14ac:dyDescent="0.2">
      <c r="A1027" s="283"/>
    </row>
    <row r="1028" spans="1:1" x14ac:dyDescent="0.2">
      <c r="A1028" s="283"/>
    </row>
    <row r="1029" spans="1:1" x14ac:dyDescent="0.2">
      <c r="A1029" s="283"/>
    </row>
    <row r="1030" spans="1:1" x14ac:dyDescent="0.2">
      <c r="A1030" s="283"/>
    </row>
    <row r="1031" spans="1:1" x14ac:dyDescent="0.2">
      <c r="A1031" s="283"/>
    </row>
    <row r="1032" spans="1:1" x14ac:dyDescent="0.2">
      <c r="A1032" s="283"/>
    </row>
    <row r="1033" spans="1:1" x14ac:dyDescent="0.2">
      <c r="A1033" s="283"/>
    </row>
    <row r="1034" spans="1:1" x14ac:dyDescent="0.2">
      <c r="A1034" s="283"/>
    </row>
    <row r="1035" spans="1:1" x14ac:dyDescent="0.2">
      <c r="A1035" s="283"/>
    </row>
    <row r="1036" spans="1:1" x14ac:dyDescent="0.2">
      <c r="A1036" s="283"/>
    </row>
    <row r="1037" spans="1:1" x14ac:dyDescent="0.2">
      <c r="A1037" s="283"/>
    </row>
    <row r="1038" spans="1:1" x14ac:dyDescent="0.2">
      <c r="A1038" s="283"/>
    </row>
    <row r="1039" spans="1:1" x14ac:dyDescent="0.2">
      <c r="A1039" s="283"/>
    </row>
    <row r="1040" spans="1:1" x14ac:dyDescent="0.2">
      <c r="A1040" s="283"/>
    </row>
    <row r="1041" spans="1:1" x14ac:dyDescent="0.2">
      <c r="A1041" s="283"/>
    </row>
    <row r="1042" spans="1:1" x14ac:dyDescent="0.2">
      <c r="A1042" s="283"/>
    </row>
    <row r="1043" spans="1:1" x14ac:dyDescent="0.2">
      <c r="A1043" s="283"/>
    </row>
    <row r="1044" spans="1:1" x14ac:dyDescent="0.2">
      <c r="A1044" s="283"/>
    </row>
    <row r="1045" spans="1:1" x14ac:dyDescent="0.2">
      <c r="A1045" s="283"/>
    </row>
    <row r="1046" spans="1:1" x14ac:dyDescent="0.2">
      <c r="A1046" s="283"/>
    </row>
    <row r="1047" spans="1:1" x14ac:dyDescent="0.2">
      <c r="A1047" s="283"/>
    </row>
    <row r="1048" spans="1:1" x14ac:dyDescent="0.2">
      <c r="A1048" s="283"/>
    </row>
    <row r="1049" spans="1:1" x14ac:dyDescent="0.2">
      <c r="A1049" s="283"/>
    </row>
    <row r="1050" spans="1:1" x14ac:dyDescent="0.2">
      <c r="A1050" s="283"/>
    </row>
    <row r="1051" spans="1:1" x14ac:dyDescent="0.2">
      <c r="A1051" s="283"/>
    </row>
    <row r="1052" spans="1:1" x14ac:dyDescent="0.2">
      <c r="A1052" s="283"/>
    </row>
    <row r="1053" spans="1:1" x14ac:dyDescent="0.2">
      <c r="A1053" s="283"/>
    </row>
    <row r="1054" spans="1:1" x14ac:dyDescent="0.2">
      <c r="A1054" s="283"/>
    </row>
    <row r="1055" spans="1:1" x14ac:dyDescent="0.2">
      <c r="A1055" s="283"/>
    </row>
    <row r="1056" spans="1:1" x14ac:dyDescent="0.2">
      <c r="A1056" s="283"/>
    </row>
    <row r="1057" spans="1:1" x14ac:dyDescent="0.2">
      <c r="A1057" s="283"/>
    </row>
    <row r="1058" spans="1:1" x14ac:dyDescent="0.2">
      <c r="A1058" s="283"/>
    </row>
    <row r="1059" spans="1:1" x14ac:dyDescent="0.2">
      <c r="A1059" s="283"/>
    </row>
    <row r="1060" spans="1:1" x14ac:dyDescent="0.2">
      <c r="A1060" s="283"/>
    </row>
    <row r="1061" spans="1:1" x14ac:dyDescent="0.2">
      <c r="A1061" s="283"/>
    </row>
    <row r="1062" spans="1:1" x14ac:dyDescent="0.2">
      <c r="A1062" s="283"/>
    </row>
    <row r="1063" spans="1:1" x14ac:dyDescent="0.2">
      <c r="A1063" s="283"/>
    </row>
    <row r="1064" spans="1:1" x14ac:dyDescent="0.2">
      <c r="A1064" s="283"/>
    </row>
    <row r="1065" spans="1:1" x14ac:dyDescent="0.2">
      <c r="A1065" s="283"/>
    </row>
    <row r="1066" spans="1:1" x14ac:dyDescent="0.2">
      <c r="A1066" s="283"/>
    </row>
    <row r="1067" spans="1:1" x14ac:dyDescent="0.2">
      <c r="A1067" s="283"/>
    </row>
    <row r="1068" spans="1:1" x14ac:dyDescent="0.2">
      <c r="A1068" s="283"/>
    </row>
    <row r="1069" spans="1:1" x14ac:dyDescent="0.2">
      <c r="A1069" s="283"/>
    </row>
    <row r="1070" spans="1:1" x14ac:dyDescent="0.2">
      <c r="A1070" s="283"/>
    </row>
    <row r="1071" spans="1:1" x14ac:dyDescent="0.2">
      <c r="A1071" s="283"/>
    </row>
    <row r="1072" spans="1:1" x14ac:dyDescent="0.2">
      <c r="A1072" s="283"/>
    </row>
    <row r="1073" spans="1:1" x14ac:dyDescent="0.2">
      <c r="A1073" s="283"/>
    </row>
    <row r="1074" spans="1:1" x14ac:dyDescent="0.2">
      <c r="A1074" s="283"/>
    </row>
    <row r="1075" spans="1:1" x14ac:dyDescent="0.2">
      <c r="A1075" s="283"/>
    </row>
    <row r="1076" spans="1:1" x14ac:dyDescent="0.2">
      <c r="A1076" s="283"/>
    </row>
    <row r="1077" spans="1:1" x14ac:dyDescent="0.2">
      <c r="A1077" s="283"/>
    </row>
    <row r="1078" spans="1:1" x14ac:dyDescent="0.2">
      <c r="A1078" s="283"/>
    </row>
    <row r="1079" spans="1:1" x14ac:dyDescent="0.2">
      <c r="A1079" s="283"/>
    </row>
    <row r="1080" spans="1:1" x14ac:dyDescent="0.2">
      <c r="A1080" s="283"/>
    </row>
    <row r="1081" spans="1:1" x14ac:dyDescent="0.2">
      <c r="A1081" s="283"/>
    </row>
    <row r="1082" spans="1:1" x14ac:dyDescent="0.2">
      <c r="A1082" s="283"/>
    </row>
    <row r="1083" spans="1:1" x14ac:dyDescent="0.2">
      <c r="A1083" s="283"/>
    </row>
    <row r="1084" spans="1:1" x14ac:dyDescent="0.2">
      <c r="A1084" s="283"/>
    </row>
    <row r="1085" spans="1:1" x14ac:dyDescent="0.2">
      <c r="A1085" s="283"/>
    </row>
    <row r="1086" spans="1:1" x14ac:dyDescent="0.2">
      <c r="A1086" s="283"/>
    </row>
    <row r="1087" spans="1:1" x14ac:dyDescent="0.2">
      <c r="A1087" s="283"/>
    </row>
    <row r="1088" spans="1:1" x14ac:dyDescent="0.2">
      <c r="A1088" s="283"/>
    </row>
    <row r="1089" spans="1:1" x14ac:dyDescent="0.2">
      <c r="A1089" s="283"/>
    </row>
    <row r="1090" spans="1:1" x14ac:dyDescent="0.2">
      <c r="A1090" s="283"/>
    </row>
    <row r="1091" spans="1:1" x14ac:dyDescent="0.2">
      <c r="A1091" s="283"/>
    </row>
    <row r="1092" spans="1:1" x14ac:dyDescent="0.2">
      <c r="A1092" s="283"/>
    </row>
    <row r="1093" spans="1:1" x14ac:dyDescent="0.2">
      <c r="A1093" s="283"/>
    </row>
    <row r="1094" spans="1:1" x14ac:dyDescent="0.2">
      <c r="A1094" s="283"/>
    </row>
    <row r="1095" spans="1:1" x14ac:dyDescent="0.2">
      <c r="A1095" s="283"/>
    </row>
    <row r="1096" spans="1:1" x14ac:dyDescent="0.2">
      <c r="A1096" s="283"/>
    </row>
    <row r="1097" spans="1:1" x14ac:dyDescent="0.2">
      <c r="A1097" s="283"/>
    </row>
    <row r="1098" spans="1:1" x14ac:dyDescent="0.2">
      <c r="A1098" s="283"/>
    </row>
    <row r="1099" spans="1:1" x14ac:dyDescent="0.2">
      <c r="A1099" s="283"/>
    </row>
    <row r="1100" spans="1:1" x14ac:dyDescent="0.2">
      <c r="A1100" s="283"/>
    </row>
    <row r="1101" spans="1:1" x14ac:dyDescent="0.2">
      <c r="A1101" s="283"/>
    </row>
    <row r="1102" spans="1:1" x14ac:dyDescent="0.2">
      <c r="A1102" s="283"/>
    </row>
    <row r="1103" spans="1:1" x14ac:dyDescent="0.2">
      <c r="A1103" s="283"/>
    </row>
    <row r="1104" spans="1:1" x14ac:dyDescent="0.2">
      <c r="A1104" s="283"/>
    </row>
    <row r="1105" spans="1:1" x14ac:dyDescent="0.2">
      <c r="A1105" s="283"/>
    </row>
    <row r="1106" spans="1:1" x14ac:dyDescent="0.2">
      <c r="A1106" s="283"/>
    </row>
    <row r="1107" spans="1:1" x14ac:dyDescent="0.2">
      <c r="A1107" s="283"/>
    </row>
    <row r="1108" spans="1:1" x14ac:dyDescent="0.2">
      <c r="A1108" s="283"/>
    </row>
    <row r="1109" spans="1:1" x14ac:dyDescent="0.2">
      <c r="A1109" s="283"/>
    </row>
  </sheetData>
  <sheetProtection algorithmName="SHA-512" hashValue="KOyo/tEXCcWLYTUkJEjZOEaD3fJbfluyKLpqzkLsTTxuYHPnKDlCf2WA4xG+7oUkANgdeQiGjrwysj8AcfjkAw==" saltValue="dCJ2khN+A4esilLeUS4LYw==" spinCount="100000" sheet="1" objects="1" scenarios="1"/>
  <mergeCells count="27">
    <mergeCell ref="C22:D22"/>
    <mergeCell ref="C41:D41"/>
    <mergeCell ref="D43:D47"/>
    <mergeCell ref="F12:H12"/>
    <mergeCell ref="K12:M15"/>
    <mergeCell ref="F14:H14"/>
    <mergeCell ref="F16:H16"/>
    <mergeCell ref="F18:H18"/>
    <mergeCell ref="K43:M47"/>
    <mergeCell ref="C2:N2"/>
    <mergeCell ref="C4:D4"/>
    <mergeCell ref="F6:H6"/>
    <mergeCell ref="F8:H8"/>
    <mergeCell ref="F10:H10"/>
    <mergeCell ref="D108:D112"/>
    <mergeCell ref="D116:D120"/>
    <mergeCell ref="F108:H112"/>
    <mergeCell ref="F114:H114"/>
    <mergeCell ref="F116:H120"/>
    <mergeCell ref="K49:M49"/>
    <mergeCell ref="K51:M56"/>
    <mergeCell ref="D80:D84"/>
    <mergeCell ref="D88:D92"/>
    <mergeCell ref="F86:H86"/>
    <mergeCell ref="F80:H84"/>
    <mergeCell ref="F88:H92"/>
    <mergeCell ref="D51:D5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10BA9B-DC15-4513-BEB7-B7DB24DCA034}">
          <x14:formula1>
            <xm:f>'Pathway definition and results'!$E$28:$H$28</xm:f>
          </x14:formula1>
          <xm:sqref>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9F84-4934-4EA8-BE5B-61D699C76659}">
  <sheetPr codeName="Sheet3"/>
  <dimension ref="B1:J21"/>
  <sheetViews>
    <sheetView zoomScaleNormal="100" workbookViewId="0">
      <pane xSplit="1" topLeftCell="B1" activePane="topRight" state="frozen"/>
      <selection pane="topRight" activeCell="A18" sqref="A18"/>
    </sheetView>
  </sheetViews>
  <sheetFormatPr defaultColWidth="9.33203125" defaultRowHeight="11.4" x14ac:dyDescent="0.2"/>
  <cols>
    <col min="1" max="1" width="30.6640625" style="1" customWidth="1"/>
    <col min="2" max="2" width="35" style="1" bestFit="1" customWidth="1"/>
    <col min="3" max="3" width="107.44140625" style="1" customWidth="1"/>
    <col min="4" max="16384" width="9.33203125" style="1"/>
  </cols>
  <sheetData>
    <row r="1" spans="2:3" ht="144" customHeight="1" x14ac:dyDescent="0.2"/>
    <row r="4" spans="2:3" ht="19.8" x14ac:dyDescent="0.3">
      <c r="B4" s="3" t="s">
        <v>97</v>
      </c>
    </row>
    <row r="6" spans="2:3" ht="15" customHeight="1" x14ac:dyDescent="0.2">
      <c r="B6" s="5" t="s">
        <v>98</v>
      </c>
      <c r="C6" s="4"/>
    </row>
    <row r="7" spans="2:3" ht="15" customHeight="1" x14ac:dyDescent="0.2">
      <c r="B7" s="5" t="s">
        <v>99</v>
      </c>
      <c r="C7" s="4"/>
    </row>
    <row r="8" spans="2:3" ht="15" customHeight="1" x14ac:dyDescent="0.2">
      <c r="B8" s="5" t="s">
        <v>100</v>
      </c>
      <c r="C8" s="65"/>
    </row>
    <row r="9" spans="2:3" ht="15" customHeight="1" x14ac:dyDescent="0.2">
      <c r="B9" s="5" t="s">
        <v>101</v>
      </c>
      <c r="C9" s="165"/>
    </row>
    <row r="10" spans="2:3" ht="15" customHeight="1" x14ac:dyDescent="0.2">
      <c r="B10" s="5" t="s">
        <v>102</v>
      </c>
      <c r="C10" s="75"/>
    </row>
    <row r="11" spans="2:3" ht="15" customHeight="1" x14ac:dyDescent="0.2">
      <c r="B11" s="5" t="s">
        <v>103</v>
      </c>
      <c r="C11" s="166"/>
    </row>
    <row r="12" spans="2:3" ht="15" customHeight="1" x14ac:dyDescent="0.2">
      <c r="B12" s="5" t="s">
        <v>104</v>
      </c>
      <c r="C12" s="75"/>
    </row>
    <row r="13" spans="2:3" ht="15" customHeight="1" x14ac:dyDescent="0.2">
      <c r="B13" s="5" t="s">
        <v>105</v>
      </c>
      <c r="C13" s="4"/>
    </row>
    <row r="14" spans="2:3" ht="15" customHeight="1" x14ac:dyDescent="0.2">
      <c r="B14" s="5" t="s">
        <v>106</v>
      </c>
      <c r="C14" s="4"/>
    </row>
    <row r="15" spans="2:3" ht="15" customHeight="1" x14ac:dyDescent="0.2">
      <c r="B15" s="5" t="s">
        <v>107</v>
      </c>
      <c r="C15" s="4"/>
    </row>
    <row r="18" spans="2:10" ht="19.8" x14ac:dyDescent="0.3">
      <c r="B18" s="3" t="s">
        <v>108</v>
      </c>
      <c r="J18"/>
    </row>
    <row r="19" spans="2:10" x14ac:dyDescent="0.2">
      <c r="B19" s="6" t="s">
        <v>109</v>
      </c>
      <c r="C19" s="6"/>
    </row>
    <row r="20" spans="2:10" x14ac:dyDescent="0.2">
      <c r="B20" s="167"/>
    </row>
    <row r="21" spans="2:10" x14ac:dyDescent="0.2">
      <c r="B21" s="14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438A-5D31-4FD5-882B-B722E587D9E3}">
  <sheetPr codeName="Sheet6">
    <tabColor theme="4" tint="0.79998168889431442"/>
  </sheetPr>
  <dimension ref="B1:K40"/>
  <sheetViews>
    <sheetView zoomScaleNormal="100" workbookViewId="0">
      <pane xSplit="1" topLeftCell="B1" activePane="topRight" state="frozen"/>
      <selection pane="topRight" activeCell="A17" sqref="A17"/>
    </sheetView>
  </sheetViews>
  <sheetFormatPr defaultColWidth="9.33203125" defaultRowHeight="11.4" x14ac:dyDescent="0.2"/>
  <cols>
    <col min="1" max="1" width="30.6640625" style="1" customWidth="1"/>
    <col min="2" max="2" width="32.33203125" style="1" customWidth="1"/>
    <col min="3" max="6" width="20.6640625" style="1" customWidth="1"/>
    <col min="7" max="7" width="14.6640625" style="1" customWidth="1"/>
    <col min="8" max="9" width="20.6640625" style="1" customWidth="1"/>
    <col min="10" max="10" width="15.5546875" style="1" customWidth="1"/>
    <col min="11" max="11" width="6.6640625" style="1" customWidth="1"/>
    <col min="12" max="16384" width="9.33203125" style="1"/>
  </cols>
  <sheetData>
    <row r="1" spans="2:11" ht="144" customHeight="1" x14ac:dyDescent="0.2"/>
    <row r="4" spans="2:11" ht="19.8" x14ac:dyDescent="0.3">
      <c r="B4" s="3" t="s">
        <v>110</v>
      </c>
    </row>
    <row r="6" spans="2:11" s="61" customFormat="1" ht="20.100000000000001" customHeight="1" x14ac:dyDescent="0.3">
      <c r="B6" s="105" t="s">
        <v>111</v>
      </c>
      <c r="C6" s="417"/>
      <c r="D6" s="418"/>
      <c r="E6" s="418"/>
      <c r="F6" s="418"/>
      <c r="G6" s="418"/>
      <c r="H6" s="418"/>
      <c r="I6" s="418"/>
      <c r="J6" s="418"/>
      <c r="K6" s="419"/>
    </row>
    <row r="8" spans="2:11" ht="12.75" customHeight="1" x14ac:dyDescent="0.2">
      <c r="B8" s="105" t="s">
        <v>112</v>
      </c>
    </row>
    <row r="9" spans="2:11" ht="66" customHeight="1" x14ac:dyDescent="0.2">
      <c r="B9" s="417"/>
      <c r="C9" s="418"/>
      <c r="D9" s="418"/>
      <c r="E9" s="418"/>
      <c r="F9" s="418"/>
      <c r="G9" s="418"/>
      <c r="H9" s="418"/>
      <c r="I9" s="418"/>
      <c r="J9" s="418"/>
      <c r="K9" s="419"/>
    </row>
    <row r="11" spans="2:11" s="61" customFormat="1" ht="20.100000000000001" customHeight="1" x14ac:dyDescent="0.3">
      <c r="B11" s="105" t="s">
        <v>597</v>
      </c>
      <c r="C11" s="414"/>
      <c r="D11" s="415"/>
      <c r="E11" s="415"/>
      <c r="F11" s="415"/>
      <c r="G11" s="415"/>
      <c r="H11" s="415"/>
      <c r="I11" s="415"/>
      <c r="J11" s="415"/>
      <c r="K11" s="416"/>
    </row>
    <row r="13" spans="2:11" x14ac:dyDescent="0.2">
      <c r="B13" s="6" t="s">
        <v>113</v>
      </c>
    </row>
    <row r="14" spans="2:11" ht="36.6" x14ac:dyDescent="0.2">
      <c r="B14" s="149" t="s">
        <v>114</v>
      </c>
      <c r="C14" s="63" t="s">
        <v>115</v>
      </c>
      <c r="D14" s="148" t="s">
        <v>598</v>
      </c>
      <c r="E14" s="420" t="s">
        <v>116</v>
      </c>
      <c r="F14" s="420"/>
      <c r="G14" s="420"/>
      <c r="H14" s="420" t="s">
        <v>117</v>
      </c>
      <c r="I14" s="420"/>
      <c r="J14" s="420"/>
      <c r="K14" s="420"/>
    </row>
    <row r="15" spans="2:11" ht="50.1" customHeight="1" x14ac:dyDescent="0.2">
      <c r="B15" s="4"/>
      <c r="C15" s="62"/>
      <c r="D15" s="227"/>
      <c r="E15" s="421"/>
      <c r="F15" s="421"/>
      <c r="G15" s="421"/>
      <c r="H15" s="421"/>
      <c r="I15" s="421"/>
      <c r="J15" s="421"/>
      <c r="K15" s="421"/>
    </row>
    <row r="16" spans="2:11" ht="50.1" customHeight="1" x14ac:dyDescent="0.2">
      <c r="B16" s="4"/>
      <c r="C16" s="62"/>
      <c r="D16" s="228"/>
      <c r="E16" s="421"/>
      <c r="F16" s="421"/>
      <c r="G16" s="421"/>
      <c r="H16" s="421"/>
      <c r="I16" s="421"/>
      <c r="J16" s="421"/>
      <c r="K16" s="421"/>
    </row>
    <row r="17" spans="2:11" ht="50.1" customHeight="1" x14ac:dyDescent="0.2">
      <c r="B17" s="4"/>
      <c r="C17" s="62"/>
      <c r="D17" s="228"/>
      <c r="E17" s="421"/>
      <c r="F17" s="421"/>
      <c r="G17" s="421"/>
      <c r="H17" s="421"/>
      <c r="I17" s="421"/>
      <c r="J17" s="421"/>
      <c r="K17" s="421"/>
    </row>
    <row r="18" spans="2:11" ht="14.4" x14ac:dyDescent="0.3">
      <c r="G18"/>
    </row>
    <row r="19" spans="2:11" x14ac:dyDescent="0.2">
      <c r="B19" s="6" t="s">
        <v>118</v>
      </c>
    </row>
    <row r="20" spans="2:11" x14ac:dyDescent="0.2">
      <c r="B20" s="59" t="s">
        <v>119</v>
      </c>
    </row>
    <row r="21" spans="2:11" ht="54" customHeight="1" x14ac:dyDescent="0.2">
      <c r="B21" s="417"/>
      <c r="C21" s="418"/>
      <c r="D21" s="418"/>
      <c r="E21" s="418"/>
      <c r="F21" s="418"/>
      <c r="G21" s="418"/>
      <c r="H21" s="418"/>
      <c r="I21" s="418"/>
      <c r="J21" s="418"/>
      <c r="K21" s="419"/>
    </row>
    <row r="23" spans="2:11" s="61" customFormat="1" ht="20.100000000000001" customHeight="1" x14ac:dyDescent="0.3">
      <c r="B23" s="105" t="s">
        <v>120</v>
      </c>
      <c r="C23" s="417" t="s">
        <v>121</v>
      </c>
      <c r="D23" s="418"/>
      <c r="E23" s="418"/>
      <c r="F23" s="418"/>
      <c r="G23" s="418"/>
      <c r="H23" s="418"/>
      <c r="I23" s="418"/>
      <c r="J23" s="418"/>
      <c r="K23" s="419"/>
    </row>
    <row r="25" spans="2:11" s="61" customFormat="1" ht="20.100000000000001" customHeight="1" x14ac:dyDescent="0.3">
      <c r="B25" s="105" t="s">
        <v>122</v>
      </c>
      <c r="C25" s="417" t="s">
        <v>123</v>
      </c>
      <c r="D25" s="418"/>
      <c r="E25" s="418"/>
      <c r="F25" s="418"/>
      <c r="G25" s="418"/>
      <c r="H25" s="418"/>
      <c r="I25" s="418"/>
      <c r="J25" s="418"/>
      <c r="K25" s="419"/>
    </row>
    <row r="28" spans="2:11" x14ac:dyDescent="0.2">
      <c r="B28" s="6" t="s">
        <v>124</v>
      </c>
    </row>
    <row r="29" spans="2:11" x14ac:dyDescent="0.2">
      <c r="B29" s="59" t="s">
        <v>125</v>
      </c>
      <c r="C29" s="59" t="s">
        <v>126</v>
      </c>
      <c r="D29" s="59"/>
    </row>
    <row r="30" spans="2:11" s="61" customFormat="1" ht="20.100000000000001" customHeight="1" x14ac:dyDescent="0.3">
      <c r="B30" s="76"/>
      <c r="C30" s="417"/>
      <c r="D30" s="418"/>
      <c r="E30" s="418"/>
      <c r="F30" s="418"/>
      <c r="G30" s="418"/>
      <c r="H30" s="418"/>
      <c r="I30" s="418"/>
      <c r="J30" s="418"/>
      <c r="K30" s="419"/>
    </row>
    <row r="32" spans="2:11" ht="21.75" customHeight="1" x14ac:dyDescent="0.2">
      <c r="B32" s="168" t="s">
        <v>127</v>
      </c>
      <c r="C32" s="414"/>
      <c r="D32" s="415"/>
      <c r="E32" s="415"/>
      <c r="F32" s="415"/>
      <c r="G32" s="415"/>
      <c r="H32" s="415"/>
      <c r="I32" s="415"/>
      <c r="J32" s="415"/>
      <c r="K32" s="416"/>
    </row>
    <row r="33" spans="2:11" x14ac:dyDescent="0.2">
      <c r="B33" s="6"/>
    </row>
    <row r="34" spans="2:11" x14ac:dyDescent="0.2">
      <c r="B34" s="59" t="s">
        <v>128</v>
      </c>
    </row>
    <row r="35" spans="2:11" ht="36.75" customHeight="1" x14ac:dyDescent="0.2">
      <c r="B35" s="417"/>
      <c r="C35" s="418"/>
      <c r="D35" s="418"/>
      <c r="E35" s="418"/>
      <c r="F35" s="418"/>
      <c r="G35" s="418"/>
      <c r="H35" s="418"/>
      <c r="I35" s="418"/>
      <c r="J35" s="418"/>
      <c r="K35" s="419"/>
    </row>
    <row r="36" spans="2:11" x14ac:dyDescent="0.2">
      <c r="B36" s="59"/>
    </row>
    <row r="37" spans="2:11" x14ac:dyDescent="0.2">
      <c r="B37" s="6" t="s">
        <v>129</v>
      </c>
    </row>
    <row r="38" spans="2:11" x14ac:dyDescent="0.2">
      <c r="B38" s="59" t="s">
        <v>130</v>
      </c>
    </row>
    <row r="39" spans="2:11" ht="36.75" customHeight="1" x14ac:dyDescent="0.2">
      <c r="B39" s="417"/>
      <c r="C39" s="418"/>
      <c r="D39" s="418"/>
      <c r="E39" s="418"/>
      <c r="F39" s="418"/>
      <c r="G39" s="418"/>
      <c r="H39" s="418"/>
      <c r="I39" s="418"/>
      <c r="J39" s="418"/>
      <c r="K39" s="419"/>
    </row>
    <row r="40" spans="2:11" ht="11.25" customHeight="1" x14ac:dyDescent="0.2"/>
  </sheetData>
  <mergeCells count="18">
    <mergeCell ref="E16:G16"/>
    <mergeCell ref="E17:G17"/>
    <mergeCell ref="C32:K32"/>
    <mergeCell ref="B39:K39"/>
    <mergeCell ref="B35:K35"/>
    <mergeCell ref="C30:K30"/>
    <mergeCell ref="C6:K6"/>
    <mergeCell ref="B9:K9"/>
    <mergeCell ref="C11:K11"/>
    <mergeCell ref="C23:K23"/>
    <mergeCell ref="C25:K25"/>
    <mergeCell ref="B21:K21"/>
    <mergeCell ref="E14:G14"/>
    <mergeCell ref="H15:K15"/>
    <mergeCell ref="H16:K16"/>
    <mergeCell ref="H17:K17"/>
    <mergeCell ref="E15:G15"/>
    <mergeCell ref="H14:K14"/>
  </mergeCells>
  <dataValidations count="2">
    <dataValidation type="list" allowBlank="1" showInputMessage="1" showErrorMessage="1" sqref="B30" xr:uid="{FC9D044B-980D-4152-8BB4-42C38F0A844F}">
      <formula1>"Cradle-to-cradle, Cradle-to-grave, Cradle-to-gate, Gate-to-gate, Gate-to-grave, Gate-to-cradle"</formula1>
    </dataValidation>
    <dataValidation type="whole" allowBlank="1" showInputMessage="1" showErrorMessage="1" error="Should be number between 1 and 9." sqref="C11:K11" xr:uid="{00765949-5618-47A6-8859-EB119CACABB5}">
      <formula1>1</formula1>
      <formula2>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7FB2-A7AF-4C9E-92B8-77E741E9B073}">
  <sheetPr codeName="Sheet12">
    <tabColor theme="5" tint="0.79998168889431442"/>
  </sheetPr>
  <dimension ref="A1:J51"/>
  <sheetViews>
    <sheetView zoomScaleNormal="100" workbookViewId="0">
      <pane xSplit="1" topLeftCell="B1" activePane="topRight" state="frozen"/>
      <selection pane="topRight" activeCell="A9" sqref="A9"/>
    </sheetView>
  </sheetViews>
  <sheetFormatPr defaultColWidth="9.33203125" defaultRowHeight="11.4" x14ac:dyDescent="0.2"/>
  <cols>
    <col min="1" max="1" width="30.6640625" style="1" customWidth="1"/>
    <col min="2" max="2" width="33.33203125" style="1" customWidth="1"/>
    <col min="3" max="3" width="113.6640625" style="1" customWidth="1"/>
    <col min="4" max="4" width="24.6640625" style="1" customWidth="1"/>
    <col min="5" max="5" width="9.33203125" style="1" customWidth="1"/>
    <col min="6" max="16384" width="9.33203125" style="1"/>
  </cols>
  <sheetData>
    <row r="1" spans="2:10" ht="144" customHeight="1" x14ac:dyDescent="0.2"/>
    <row r="4" spans="2:10" ht="19.8" x14ac:dyDescent="0.3">
      <c r="B4" s="3" t="s">
        <v>131</v>
      </c>
    </row>
    <row r="6" spans="2:10" ht="15" customHeight="1" x14ac:dyDescent="0.2">
      <c r="B6" s="69" t="s">
        <v>132</v>
      </c>
    </row>
    <row r="7" spans="2:10" ht="25.2" customHeight="1" x14ac:dyDescent="0.2">
      <c r="B7" s="5" t="s">
        <v>133</v>
      </c>
      <c r="C7" s="4"/>
      <c r="D7" s="422"/>
      <c r="E7" s="423"/>
      <c r="F7" s="423"/>
      <c r="G7" s="423"/>
      <c r="H7" s="423"/>
      <c r="I7" s="423"/>
      <c r="J7" s="423"/>
    </row>
    <row r="8" spans="2:10" ht="25.2" customHeight="1" x14ac:dyDescent="0.2">
      <c r="B8" s="5" t="s">
        <v>134</v>
      </c>
      <c r="C8" s="4"/>
    </row>
    <row r="9" spans="2:10" ht="25.2" customHeight="1" x14ac:dyDescent="0.2">
      <c r="B9" s="5" t="s">
        <v>135</v>
      </c>
      <c r="C9" s="79"/>
    </row>
    <row r="10" spans="2:10" ht="25.2" customHeight="1" x14ac:dyDescent="0.2">
      <c r="B10" s="77" t="s">
        <v>136</v>
      </c>
      <c r="C10" s="4"/>
    </row>
    <row r="11" spans="2:10" ht="25.2" customHeight="1" x14ac:dyDescent="0.2">
      <c r="B11" s="77" t="s">
        <v>137</v>
      </c>
      <c r="C11" s="4"/>
    </row>
    <row r="12" spans="2:10" ht="25.2" customHeight="1" x14ac:dyDescent="0.2">
      <c r="B12" s="5" t="s">
        <v>138</v>
      </c>
      <c r="C12" s="78"/>
    </row>
    <row r="13" spans="2:10" ht="25.2" customHeight="1" x14ac:dyDescent="0.2">
      <c r="B13" s="5" t="s">
        <v>139</v>
      </c>
      <c r="C13" s="4"/>
    </row>
    <row r="14" spans="2:10" ht="25.2" customHeight="1" x14ac:dyDescent="0.2">
      <c r="B14" s="5" t="s">
        <v>140</v>
      </c>
      <c r="C14" s="4"/>
    </row>
    <row r="15" spans="2:10" ht="25.2" customHeight="1" x14ac:dyDescent="0.2">
      <c r="B15" s="5" t="s">
        <v>141</v>
      </c>
      <c r="C15" s="4"/>
    </row>
    <row r="16" spans="2:10" ht="25.2" customHeight="1" x14ac:dyDescent="0.2">
      <c r="B16" s="5" t="s">
        <v>142</v>
      </c>
      <c r="C16" s="4"/>
    </row>
    <row r="17" spans="1:3" ht="25.2" customHeight="1" x14ac:dyDescent="0.2">
      <c r="B17" s="5" t="s">
        <v>143</v>
      </c>
      <c r="C17" s="4"/>
    </row>
    <row r="18" spans="1:3" ht="25.2" customHeight="1" x14ac:dyDescent="0.2">
      <c r="B18" s="5" t="s">
        <v>144</v>
      </c>
      <c r="C18" s="4"/>
    </row>
    <row r="19" spans="1:3" ht="45.75" customHeight="1" x14ac:dyDescent="0.2">
      <c r="B19" s="77" t="s">
        <v>145</v>
      </c>
      <c r="C19" s="4"/>
    </row>
    <row r="20" spans="1:3" ht="25.2" customHeight="1" x14ac:dyDescent="0.2">
      <c r="B20" s="5" t="s">
        <v>146</v>
      </c>
      <c r="C20" s="4"/>
    </row>
    <row r="21" spans="1:3" ht="15" customHeight="1" x14ac:dyDescent="0.2"/>
    <row r="22" spans="1:3" ht="15" customHeight="1" x14ac:dyDescent="0.2"/>
    <row r="23" spans="1:3" ht="15" customHeight="1" x14ac:dyDescent="0.2">
      <c r="B23" s="6" t="s">
        <v>147</v>
      </c>
    </row>
    <row r="24" spans="1:3" ht="15" customHeight="1" x14ac:dyDescent="0.2">
      <c r="B24" s="59" t="s">
        <v>148</v>
      </c>
    </row>
    <row r="25" spans="1:3" ht="15" customHeight="1" x14ac:dyDescent="0.2">
      <c r="B25" s="1" t="s">
        <v>149</v>
      </c>
      <c r="C25" s="1" t="s">
        <v>150</v>
      </c>
    </row>
    <row r="26" spans="1:3" ht="25.2" customHeight="1" x14ac:dyDescent="0.2">
      <c r="B26" s="4"/>
      <c r="C26" s="4"/>
    </row>
    <row r="27" spans="1:3" ht="25.2" customHeight="1" x14ac:dyDescent="0.2">
      <c r="B27" s="4"/>
      <c r="C27" s="4"/>
    </row>
    <row r="28" spans="1:3" ht="25.2" customHeight="1" x14ac:dyDescent="0.2">
      <c r="B28" s="4"/>
      <c r="C28" s="4"/>
    </row>
    <row r="29" spans="1:3" ht="25.2" customHeight="1" x14ac:dyDescent="0.2">
      <c r="B29" s="4"/>
      <c r="C29" s="4"/>
    </row>
    <row r="30" spans="1: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1">
    <mergeCell ref="D7:J7"/>
  </mergeCells>
  <phoneticPr fontId="14" type="noConversion"/>
  <dataValidations count="13">
    <dataValidation allowBlank="1" showInputMessage="1" showErrorMessage="1" prompt="Compound Annual Growth Rate " sqref="B12" xr:uid="{8D98EF42-8721-4B2B-8A35-17F1C0080821}"/>
    <dataValidation allowBlank="1" showInputMessage="1" showErrorMessage="1" prompt="What is the current global production? " sqref="B8" xr:uid="{D1843BDA-EFFF-4852-A4B3-C5DB9F61F3EC}"/>
    <dataValidation allowBlank="1" showInputMessage="1" showErrorMessage="1" prompt="What is the production in Belgium/Flanders?" sqref="B9" xr:uid="{F3EE4C49-34DE-4B58-8B6C-976B898AF800}"/>
    <dataValidation allowBlank="1" showInputMessage="1" showErrorMessage="1" prompt="How big is the global demand? " sqref="B10" xr:uid="{D3C1ACAB-534F-4D89-B75E-23B99AB14FC3}"/>
    <dataValidation allowBlank="1" showInputMessage="1" showErrorMessage="1" prompt="Which is the main product that you target?" sqref="B7" xr:uid="{666CF06E-F4E9-4C5C-A383-C9F8CC8AFFDB}"/>
    <dataValidation allowBlank="1" showInputMessage="1" showErrorMessage="1" prompt="What would be a realistic market share if you are successful? " sqref="B11" xr:uid="{D9DFF1D3-4238-4C4E-857A-D73D5EA42755}"/>
    <dataValidation allowBlank="1" showInputMessage="1" showErrorMessage="1" prompt="Who are the main companies active on the market? " sqref="B13" xr:uid="{A9162C32-9409-425B-831D-6DBE28ECDBE2}"/>
    <dataValidation allowBlank="1" showInputMessage="1" showErrorMessage="1" prompt="Who are the main companies active in Flanders? " sqref="B14" xr:uid="{682A9CA9-CD4B-47B2-B786-C7AC01B3DB04}"/>
    <dataValidation allowBlank="1" showInputMessage="1" showErrorMessage="1" prompt="What is the price (range) of the targeted product? " sqref="B15" xr:uid="{1AAA5CAE-4C23-400C-B8D2-464029ADE3AC}"/>
    <dataValidation allowBlank="1" showInputMessage="1" showErrorMessage="1" prompt="What are the main applications of the targeted product? " sqref="B16" xr:uid="{77611F4C-A8E2-4498-ABAE-9A8EB1DC44C3}"/>
    <dataValidation allowBlank="1" showInputMessage="1" showErrorMessage="1" prompt="What is the main production technology on the market? " sqref="B18" xr:uid="{62E33973-34D9-49E7-AEE5-5E16674A39C6}"/>
    <dataValidation allowBlank="1" showInputMessage="1" showErrorMessage="1" prompt="What is the current CO2 footprint of the targeted product? " sqref="B19" xr:uid="{935BD480-D15D-4D44-9698-A004B27BBD74}"/>
    <dataValidation allowBlank="1" showInputMessage="1" showErrorMessage="1" prompt="What is the targeted application? " sqref="B17" xr:uid="{96AF7989-8878-4D40-9294-7B652B4B2AB1}"/>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AF29-977D-4A32-BF35-98648EA449CB}">
  <sheetPr codeName="Sheet11"/>
  <dimension ref="A1:P83"/>
  <sheetViews>
    <sheetView zoomScaleNormal="100" workbookViewId="0">
      <pane xSplit="1" topLeftCell="B1" activePane="topRight" state="frozen"/>
      <selection pane="topRight"/>
    </sheetView>
  </sheetViews>
  <sheetFormatPr defaultColWidth="9.33203125" defaultRowHeight="11.4" x14ac:dyDescent="0.2"/>
  <cols>
    <col min="1" max="1" width="30.6640625" style="1" customWidth="1"/>
    <col min="2" max="2" width="1.33203125" style="1" customWidth="1"/>
    <col min="3" max="3" width="38.6640625" style="1" bestFit="1" customWidth="1"/>
    <col min="4" max="13" width="20.6640625" style="1" customWidth="1"/>
    <col min="14" max="16384" width="9.33203125" style="1"/>
  </cols>
  <sheetData>
    <row r="1" spans="3:11" ht="144" customHeight="1" x14ac:dyDescent="0.2"/>
    <row r="2" spans="3:11" ht="12" thickBot="1" x14ac:dyDescent="0.25"/>
    <row r="3" spans="3:11" x14ac:dyDescent="0.2">
      <c r="C3" s="424" t="s">
        <v>27</v>
      </c>
      <c r="D3" s="425"/>
      <c r="E3" s="234"/>
      <c r="F3" s="234"/>
      <c r="G3" s="234"/>
      <c r="H3" s="234"/>
      <c r="I3" s="234"/>
      <c r="J3" s="234"/>
      <c r="K3" s="235"/>
    </row>
    <row r="4" spans="3:11" x14ac:dyDescent="0.2">
      <c r="C4" s="236"/>
      <c r="D4" s="233"/>
      <c r="E4" s="233"/>
      <c r="F4" s="233"/>
      <c r="G4" s="233"/>
      <c r="H4" s="233"/>
      <c r="I4" s="233"/>
      <c r="J4" s="233"/>
      <c r="K4" s="237"/>
    </row>
    <row r="5" spans="3:11" s="58" customFormat="1" ht="30.75" customHeight="1" x14ac:dyDescent="0.3">
      <c r="C5" s="313" t="s">
        <v>151</v>
      </c>
      <c r="D5" s="426"/>
      <c r="E5" s="427"/>
      <c r="F5" s="427"/>
      <c r="G5" s="427"/>
      <c r="H5" s="427"/>
      <c r="I5" s="428"/>
      <c r="J5" s="238"/>
      <c r="K5" s="239"/>
    </row>
    <row r="6" spans="3:11" s="58" customFormat="1" ht="30.75" customHeight="1" x14ac:dyDescent="0.3">
      <c r="C6" s="313" t="s">
        <v>152</v>
      </c>
      <c r="D6" s="426"/>
      <c r="E6" s="427"/>
      <c r="F6" s="427"/>
      <c r="G6" s="427"/>
      <c r="H6" s="427"/>
      <c r="I6" s="428"/>
      <c r="J6" s="238"/>
      <c r="K6" s="239"/>
    </row>
    <row r="7" spans="3:11" s="58" customFormat="1" ht="30.75" customHeight="1" x14ac:dyDescent="0.3">
      <c r="C7" s="313" t="s">
        <v>153</v>
      </c>
      <c r="D7" s="426"/>
      <c r="E7" s="427"/>
      <c r="F7" s="427"/>
      <c r="G7" s="427"/>
      <c r="H7" s="427"/>
      <c r="I7" s="428"/>
      <c r="J7" s="238"/>
      <c r="K7" s="239"/>
    </row>
    <row r="8" spans="3:11" s="58" customFormat="1" ht="30.75" customHeight="1" x14ac:dyDescent="0.3">
      <c r="C8" s="313" t="s">
        <v>154</v>
      </c>
      <c r="D8" s="426"/>
      <c r="E8" s="427"/>
      <c r="F8" s="427"/>
      <c r="G8" s="427"/>
      <c r="H8" s="427"/>
      <c r="I8" s="428"/>
      <c r="J8" s="238"/>
      <c r="K8" s="239"/>
    </row>
    <row r="9" spans="3:11" ht="12" thickBot="1" x14ac:dyDescent="0.25">
      <c r="C9" s="240"/>
      <c r="D9" s="241"/>
      <c r="E9" s="241"/>
      <c r="F9" s="241"/>
      <c r="G9" s="241"/>
      <c r="H9" s="241"/>
      <c r="I9" s="241"/>
      <c r="J9" s="241"/>
      <c r="K9" s="242"/>
    </row>
    <row r="11" spans="3:11" ht="12" thickBot="1" x14ac:dyDescent="0.25"/>
    <row r="12" spans="3:11" s="107" customFormat="1" x14ac:dyDescent="0.2">
      <c r="C12" s="424" t="s">
        <v>155</v>
      </c>
      <c r="D12" s="425"/>
      <c r="E12" s="234"/>
      <c r="F12" s="234"/>
      <c r="G12" s="234"/>
      <c r="H12" s="234"/>
      <c r="I12" s="234"/>
      <c r="J12" s="234"/>
      <c r="K12" s="235"/>
    </row>
    <row r="13" spans="3:11" s="107" customFormat="1" x14ac:dyDescent="0.3">
      <c r="C13" s="314" t="s">
        <v>156</v>
      </c>
      <c r="D13" s="315" t="s">
        <v>157</v>
      </c>
      <c r="E13" s="316" t="str">
        <f>"1." &amp; " " &amp; C5</f>
        <v xml:space="preserve">1. Pathway 1 </v>
      </c>
      <c r="F13" s="316" t="str">
        <f>"2." &amp; " " &amp; C6</f>
        <v>2. Pathway 2</v>
      </c>
      <c r="G13" s="316" t="str">
        <f>"3." &amp; " " &amp; C7</f>
        <v>3. Pathway 3</v>
      </c>
      <c r="H13" s="316" t="str">
        <f>"4." &amp; " " &amp; C8</f>
        <v xml:space="preserve">4. Pathway 4 </v>
      </c>
      <c r="I13" s="243"/>
      <c r="J13" s="243"/>
      <c r="K13" s="244"/>
    </row>
    <row r="14" spans="3:11" x14ac:dyDescent="0.2">
      <c r="C14" s="236" t="s">
        <v>158</v>
      </c>
      <c r="D14" s="233" t="s">
        <v>159</v>
      </c>
      <c r="E14" s="317"/>
      <c r="F14" s="317"/>
      <c r="G14" s="317"/>
      <c r="H14" s="317"/>
      <c r="I14" s="245"/>
      <c r="J14" s="245"/>
      <c r="K14" s="246"/>
    </row>
    <row r="15" spans="3:11" x14ac:dyDescent="0.2">
      <c r="C15" s="236" t="s">
        <v>160</v>
      </c>
      <c r="D15" s="233" t="s">
        <v>159</v>
      </c>
      <c r="E15" s="318"/>
      <c r="F15" s="318"/>
      <c r="G15" s="318"/>
      <c r="H15" s="318"/>
      <c r="I15" s="233"/>
      <c r="J15" s="233"/>
      <c r="K15" s="237"/>
    </row>
    <row r="16" spans="3:11" x14ac:dyDescent="0.2">
      <c r="C16" s="236" t="s">
        <v>161</v>
      </c>
      <c r="D16" s="233" t="s">
        <v>162</v>
      </c>
      <c r="E16" s="318">
        <v>8000</v>
      </c>
      <c r="F16" s="318">
        <v>8000</v>
      </c>
      <c r="G16" s="318">
        <v>8000</v>
      </c>
      <c r="H16" s="318">
        <v>8000</v>
      </c>
      <c r="I16" s="233"/>
      <c r="J16" s="233"/>
      <c r="K16" s="237"/>
    </row>
    <row r="17" spans="3:11" ht="12" thickBot="1" x14ac:dyDescent="0.25">
      <c r="C17" s="240"/>
      <c r="D17" s="241"/>
      <c r="E17" s="241"/>
      <c r="F17" s="241"/>
      <c r="G17" s="241"/>
      <c r="H17" s="241"/>
      <c r="I17" s="241"/>
      <c r="J17" s="241"/>
      <c r="K17" s="242"/>
    </row>
    <row r="19" spans="3:11" ht="12" thickBot="1" x14ac:dyDescent="0.25"/>
    <row r="20" spans="3:11" s="107" customFormat="1" x14ac:dyDescent="0.2">
      <c r="C20" s="424" t="s">
        <v>163</v>
      </c>
      <c r="D20" s="425"/>
      <c r="E20" s="234"/>
      <c r="F20" s="234"/>
      <c r="G20" s="234"/>
      <c r="H20" s="234"/>
      <c r="I20" s="234"/>
      <c r="J20" s="234"/>
      <c r="K20" s="235"/>
    </row>
    <row r="21" spans="3:11" x14ac:dyDescent="0.2">
      <c r="C21" s="314" t="s">
        <v>156</v>
      </c>
      <c r="D21" s="315"/>
      <c r="E21" s="243" t="str">
        <f>E13</f>
        <v xml:space="preserve">1. Pathway 1 </v>
      </c>
      <c r="F21" s="243" t="str">
        <f>F13</f>
        <v>2. Pathway 2</v>
      </c>
      <c r="G21" s="243" t="str">
        <f>G13</f>
        <v>3. Pathway 3</v>
      </c>
      <c r="H21" s="243" t="str">
        <f>H13</f>
        <v xml:space="preserve">4. Pathway 4 </v>
      </c>
      <c r="I21" s="243"/>
      <c r="J21" s="243"/>
      <c r="K21" s="244"/>
    </row>
    <row r="22" spans="3:11" ht="12" x14ac:dyDescent="0.25">
      <c r="C22" s="236" t="s">
        <v>164</v>
      </c>
      <c r="D22" s="233"/>
      <c r="E22" s="319">
        <v>0</v>
      </c>
      <c r="F22" s="319">
        <v>0</v>
      </c>
      <c r="G22" s="319">
        <v>0</v>
      </c>
      <c r="H22" s="319">
        <v>0</v>
      </c>
      <c r="I22" s="233"/>
      <c r="J22" s="320"/>
      <c r="K22" s="237"/>
    </row>
    <row r="23" spans="3:11" x14ac:dyDescent="0.2">
      <c r="C23" s="236"/>
      <c r="D23" s="319"/>
      <c r="E23" s="319"/>
      <c r="F23" s="319"/>
      <c r="G23" s="319"/>
      <c r="H23" s="233"/>
      <c r="I23" s="233"/>
      <c r="J23" s="233"/>
      <c r="K23" s="237"/>
    </row>
    <row r="24" spans="3:11" ht="12.6" thickBot="1" x14ac:dyDescent="0.3">
      <c r="C24" s="240"/>
      <c r="D24" s="321"/>
      <c r="E24" s="321"/>
      <c r="F24" s="321"/>
      <c r="G24" s="322"/>
      <c r="H24" s="241"/>
      <c r="I24" s="241"/>
      <c r="J24" s="241"/>
      <c r="K24" s="242"/>
    </row>
    <row r="26" spans="3:11" ht="12" thickBot="1" x14ac:dyDescent="0.25"/>
    <row r="27" spans="3:11" x14ac:dyDescent="0.2">
      <c r="C27" s="424" t="s">
        <v>165</v>
      </c>
      <c r="D27" s="425"/>
      <c r="E27" s="234"/>
      <c r="F27" s="234"/>
      <c r="G27" s="234"/>
      <c r="H27" s="234"/>
      <c r="I27" s="234"/>
      <c r="J27" s="234"/>
      <c r="K27" s="235"/>
    </row>
    <row r="28" spans="3:11" s="107" customFormat="1" x14ac:dyDescent="0.3">
      <c r="C28" s="323" t="s">
        <v>156</v>
      </c>
      <c r="D28" s="259" t="s">
        <v>157</v>
      </c>
      <c r="E28" s="259" t="str">
        <f>E13</f>
        <v xml:space="preserve">1. Pathway 1 </v>
      </c>
      <c r="F28" s="259" t="str">
        <f>F13</f>
        <v>2. Pathway 2</v>
      </c>
      <c r="G28" s="259" t="str">
        <f>G13</f>
        <v>3. Pathway 3</v>
      </c>
      <c r="H28" s="259" t="str">
        <f>H13</f>
        <v xml:space="preserve">4. Pathway 4 </v>
      </c>
      <c r="I28" s="259"/>
      <c r="J28" s="259"/>
      <c r="K28" s="264"/>
    </row>
    <row r="29" spans="3:11" s="107" customFormat="1" x14ac:dyDescent="0.3">
      <c r="C29" s="263" t="s">
        <v>166</v>
      </c>
      <c r="D29" s="259"/>
      <c r="E29" s="260"/>
      <c r="F29" s="260"/>
      <c r="G29" s="260"/>
      <c r="H29" s="260"/>
      <c r="I29" s="259"/>
      <c r="J29" s="259"/>
      <c r="K29" s="264"/>
    </row>
    <row r="30" spans="3:11" s="107" customFormat="1" x14ac:dyDescent="0.2">
      <c r="C30" s="250" t="s">
        <v>167</v>
      </c>
      <c r="D30" s="233" t="s">
        <v>159</v>
      </c>
      <c r="E30" s="249"/>
      <c r="F30" s="249"/>
      <c r="G30" s="249"/>
      <c r="H30" s="249"/>
      <c r="I30" s="245"/>
      <c r="J30" s="245"/>
      <c r="K30" s="246"/>
    </row>
    <row r="31" spans="3:11" s="107" customFormat="1" x14ac:dyDescent="0.2">
      <c r="C31" s="250" t="s">
        <v>168</v>
      </c>
      <c r="D31" s="233" t="s">
        <v>159</v>
      </c>
      <c r="E31" s="249"/>
      <c r="F31" s="249"/>
      <c r="G31" s="249"/>
      <c r="H31" s="249"/>
      <c r="I31" s="245"/>
      <c r="J31" s="245"/>
      <c r="K31" s="246"/>
    </row>
    <row r="32" spans="3:11" s="107" customFormat="1" x14ac:dyDescent="0.2">
      <c r="C32" s="250" t="s">
        <v>169</v>
      </c>
      <c r="D32" s="233" t="s">
        <v>159</v>
      </c>
      <c r="E32" s="249"/>
      <c r="F32" s="249"/>
      <c r="G32" s="249"/>
      <c r="H32" s="249"/>
      <c r="I32" s="245"/>
      <c r="J32" s="245"/>
      <c r="K32" s="246"/>
    </row>
    <row r="33" spans="1:11" s="107" customFormat="1" x14ac:dyDescent="0.2">
      <c r="C33" s="250"/>
      <c r="D33" s="233"/>
      <c r="E33" s="249"/>
      <c r="F33" s="249"/>
      <c r="G33" s="249"/>
      <c r="H33" s="249"/>
      <c r="I33" s="245"/>
      <c r="J33" s="245"/>
      <c r="K33" s="246"/>
    </row>
    <row r="34" spans="1:11" s="107" customFormat="1" x14ac:dyDescent="0.2">
      <c r="C34" s="250" t="s">
        <v>170</v>
      </c>
      <c r="D34" s="233" t="s">
        <v>171</v>
      </c>
      <c r="E34" s="249"/>
      <c r="F34" s="249"/>
      <c r="G34" s="249"/>
      <c r="H34" s="249"/>
      <c r="I34" s="245"/>
      <c r="J34" s="245"/>
      <c r="K34" s="246"/>
    </row>
    <row r="35" spans="1:11" s="107" customFormat="1" x14ac:dyDescent="0.2">
      <c r="C35" s="250"/>
      <c r="D35" s="233"/>
      <c r="E35" s="249"/>
      <c r="F35" s="249"/>
      <c r="G35" s="249"/>
      <c r="H35" s="249"/>
      <c r="I35" s="245"/>
      <c r="J35" s="245"/>
      <c r="K35" s="246"/>
    </row>
    <row r="36" spans="1:11" s="107" customFormat="1" x14ac:dyDescent="0.2">
      <c r="C36" s="250" t="s">
        <v>172</v>
      </c>
      <c r="D36" s="233" t="s">
        <v>171</v>
      </c>
      <c r="E36" s="249"/>
      <c r="F36" s="249"/>
      <c r="G36" s="249"/>
      <c r="H36" s="249"/>
      <c r="I36" s="245"/>
      <c r="J36" s="245"/>
      <c r="K36" s="246"/>
    </row>
    <row r="37" spans="1:11" s="107" customFormat="1" x14ac:dyDescent="0.2">
      <c r="C37" s="251" t="s">
        <v>173</v>
      </c>
      <c r="D37" s="233"/>
      <c r="E37" s="249"/>
      <c r="F37" s="249"/>
      <c r="G37" s="249"/>
      <c r="H37" s="249"/>
      <c r="I37" s="245"/>
      <c r="J37" s="245"/>
      <c r="K37" s="246"/>
    </row>
    <row r="38" spans="1:11" s="107" customFormat="1" x14ac:dyDescent="0.2">
      <c r="C38" s="250" t="s">
        <v>174</v>
      </c>
      <c r="D38" s="233" t="s">
        <v>159</v>
      </c>
      <c r="E38" s="249"/>
      <c r="F38" s="249"/>
      <c r="G38" s="249"/>
      <c r="H38" s="249"/>
      <c r="I38" s="245"/>
      <c r="J38" s="245"/>
      <c r="K38" s="246"/>
    </row>
    <row r="39" spans="1:11" s="107" customFormat="1" x14ac:dyDescent="0.2">
      <c r="C39" s="251" t="s">
        <v>175</v>
      </c>
      <c r="D39" s="245"/>
      <c r="E39" s="249"/>
      <c r="F39" s="249"/>
      <c r="G39" s="249"/>
      <c r="H39" s="249"/>
      <c r="I39" s="245"/>
      <c r="J39" s="245"/>
      <c r="K39" s="246"/>
    </row>
    <row r="40" spans="1:11" s="107" customFormat="1" x14ac:dyDescent="0.2">
      <c r="C40" s="250" t="s">
        <v>176</v>
      </c>
      <c r="D40" s="233" t="s">
        <v>177</v>
      </c>
      <c r="E40" s="247" t="str">
        <f>IF('1. Pathway 1'!D70=0,"-",'1. Pathway 1'!D70)</f>
        <v>-</v>
      </c>
      <c r="F40" s="247" t="str">
        <f>IF('2. Pathway 2'!D70=0,"-",'2. Pathway 2'!D70)</f>
        <v>-</v>
      </c>
      <c r="G40" s="247" t="str">
        <f>IF('3. Pathway 3'!D70=0,"-",'3. Pathway 3'!D70)</f>
        <v>-</v>
      </c>
      <c r="H40" s="247" t="str">
        <f>IF('4. Pathway 4'!D70=0,"-",'4. Pathway 4'!D70)</f>
        <v>-</v>
      </c>
      <c r="I40" s="245"/>
      <c r="J40" s="245"/>
      <c r="K40" s="246"/>
    </row>
    <row r="41" spans="1:11" s="107" customFormat="1" x14ac:dyDescent="0.2">
      <c r="C41" s="250" t="s">
        <v>178</v>
      </c>
      <c r="D41" s="233" t="s">
        <v>177</v>
      </c>
      <c r="E41" s="247" t="str">
        <f>IF('1. Pathway 1'!D71=0,"-",'1. Pathway 1'!D71)</f>
        <v>-</v>
      </c>
      <c r="F41" s="247" t="str">
        <f>IF('2. Pathway 2'!D71=0,"-",'2. Pathway 2'!D71)</f>
        <v>-</v>
      </c>
      <c r="G41" s="247" t="str">
        <f>IF('3. Pathway 3'!D71=0,"-",'3. Pathway 3'!D71)</f>
        <v>-</v>
      </c>
      <c r="H41" s="247" t="str">
        <f>IF('4. Pathway 4'!D71=0,"-",'4. Pathway 4'!D71)</f>
        <v>-</v>
      </c>
      <c r="I41" s="245"/>
      <c r="J41" s="245"/>
      <c r="K41" s="246"/>
    </row>
    <row r="42" spans="1:11" s="107" customFormat="1" x14ac:dyDescent="0.2">
      <c r="C42" s="250" t="s">
        <v>179</v>
      </c>
      <c r="D42" s="233" t="s">
        <v>177</v>
      </c>
      <c r="E42" s="247" t="str">
        <f>IF('1. Pathway 1'!D72=0,"-",'1. Pathway 1'!D72)</f>
        <v>-</v>
      </c>
      <c r="F42" s="247" t="str">
        <f>IF('2. Pathway 2'!D72=0,"-",'2. Pathway 2'!D72)</f>
        <v>-</v>
      </c>
      <c r="G42" s="247" t="str">
        <f>IF('3. Pathway 3'!D72=0,"-",'3. Pathway 3'!D72)</f>
        <v>-</v>
      </c>
      <c r="H42" s="247" t="str">
        <f>IF('4. Pathway 4'!D72=0,"-",'4. Pathway 4'!D72)</f>
        <v>-</v>
      </c>
      <c r="I42" s="245"/>
      <c r="J42" s="245"/>
      <c r="K42" s="246"/>
    </row>
    <row r="43" spans="1:11" s="107" customFormat="1" x14ac:dyDescent="0.2">
      <c r="C43" s="250" t="s">
        <v>180</v>
      </c>
      <c r="D43" s="233" t="s">
        <v>177</v>
      </c>
      <c r="E43" s="247" t="str">
        <f>IF('1. Pathway 1'!D73=0,"-",'1. Pathway 1'!D73)</f>
        <v>-</v>
      </c>
      <c r="F43" s="247" t="str">
        <f>IF('2. Pathway 2'!D73=0,"-",'2. Pathway 2'!D73)</f>
        <v>-</v>
      </c>
      <c r="G43" s="247" t="str">
        <f>IF('3. Pathway 3'!D73=0,"-",'3. Pathway 3'!D73)</f>
        <v>-</v>
      </c>
      <c r="H43" s="247" t="str">
        <f>IF('4. Pathway 4'!D73=0,"-",'4. Pathway 4'!D73)</f>
        <v>-</v>
      </c>
      <c r="I43" s="245"/>
      <c r="J43" s="245"/>
      <c r="K43" s="246"/>
    </row>
    <row r="44" spans="1:11" s="107" customFormat="1" x14ac:dyDescent="0.2">
      <c r="C44" s="250" t="s">
        <v>181</v>
      </c>
      <c r="D44" s="233" t="s">
        <v>177</v>
      </c>
      <c r="E44" s="247" t="str">
        <f>IF('1. Pathway 1'!D74=0,"-",'1. Pathway 1'!D74)</f>
        <v>-</v>
      </c>
      <c r="F44" s="247" t="str">
        <f>IF('2. Pathway 2'!D74=0,"-",'2. Pathway 2'!D74)</f>
        <v>-</v>
      </c>
      <c r="G44" s="247" t="str">
        <f>IF('3. Pathway 3'!D74=0,"-",'3. Pathway 3'!D74)</f>
        <v>-</v>
      </c>
      <c r="H44" s="247" t="str">
        <f>IF('4. Pathway 4'!D74=0,"-",'4. Pathway 4'!D74)</f>
        <v>-</v>
      </c>
      <c r="I44" s="245"/>
      <c r="J44" s="245"/>
      <c r="K44" s="246"/>
    </row>
    <row r="45" spans="1:11" s="107" customFormat="1" x14ac:dyDescent="0.2">
      <c r="C45" s="250" t="s">
        <v>182</v>
      </c>
      <c r="D45" s="258" t="s">
        <v>177</v>
      </c>
      <c r="E45" s="247" t="str">
        <f>IF('1. Pathway 1'!D75=0,"-",'1. Pathway 1'!D75)</f>
        <v>-</v>
      </c>
      <c r="F45" s="247" t="str">
        <f>IF('2. Pathway 2'!D75=0,"-",'2. Pathway 2'!D75)</f>
        <v>-</v>
      </c>
      <c r="G45" s="247" t="str">
        <f>IF('3. Pathway 3'!D75=0,"-",'3. Pathway 3'!D75)</f>
        <v>-</v>
      </c>
      <c r="H45" s="247" t="str">
        <f>IF('4. Pathway 4'!D75=0,"-",'4. Pathway 4'!D75)</f>
        <v>-</v>
      </c>
      <c r="I45" s="245"/>
      <c r="J45" s="245"/>
      <c r="K45" s="246"/>
    </row>
    <row r="46" spans="1:11" x14ac:dyDescent="0.2">
      <c r="A46" s="48"/>
      <c r="C46" s="265" t="s">
        <v>183</v>
      </c>
      <c r="D46" s="261" t="s">
        <v>184</v>
      </c>
      <c r="E46" s="312">
        <f>'1. Pathway 1'!E80</f>
        <v>0</v>
      </c>
      <c r="F46" s="262">
        <f>'2. Pathway 2'!E80</f>
        <v>0</v>
      </c>
      <c r="G46" s="262">
        <f>'3. Pathway 3'!E80</f>
        <v>0</v>
      </c>
      <c r="H46" s="262">
        <f>'4. Pathway 4'!E80</f>
        <v>0</v>
      </c>
      <c r="I46" s="261"/>
      <c r="J46" s="261"/>
      <c r="K46" s="266"/>
    </row>
    <row r="47" spans="1:11" x14ac:dyDescent="0.2">
      <c r="C47" s="252" t="s">
        <v>185</v>
      </c>
      <c r="D47" s="233" t="s">
        <v>186</v>
      </c>
      <c r="E47" s="248">
        <f>'1. Pathway 1'!F86</f>
        <v>0</v>
      </c>
      <c r="F47" s="248">
        <f>'2. Pathway 2'!F86</f>
        <v>0</v>
      </c>
      <c r="G47" s="248">
        <f>'3. Pathway 3'!F86</f>
        <v>0</v>
      </c>
      <c r="H47" s="248">
        <f>'4. Pathway 4'!F86</f>
        <v>0</v>
      </c>
      <c r="I47" s="233"/>
      <c r="J47" s="233"/>
      <c r="K47" s="237"/>
    </row>
    <row r="48" spans="1:11" x14ac:dyDescent="0.2">
      <c r="C48" s="252" t="s">
        <v>187</v>
      </c>
      <c r="D48" s="233" t="s">
        <v>186</v>
      </c>
      <c r="E48" s="248">
        <f>'1. Pathway 1'!F108</f>
        <v>0</v>
      </c>
      <c r="F48" s="248">
        <f>'2. Pathway 2'!F108</f>
        <v>0</v>
      </c>
      <c r="G48" s="248">
        <f>'3. Pathway 3'!F108</f>
        <v>0</v>
      </c>
      <c r="H48" s="248">
        <f>'4. Pathway 4'!F108</f>
        <v>0</v>
      </c>
      <c r="I48" s="233"/>
      <c r="J48" s="233"/>
      <c r="K48" s="237"/>
    </row>
    <row r="49" spans="1:11" x14ac:dyDescent="0.2">
      <c r="C49" s="252" t="s">
        <v>188</v>
      </c>
      <c r="D49" s="233" t="s">
        <v>184</v>
      </c>
      <c r="E49" s="248">
        <f>'1. Pathway 1'!D135</f>
        <v>0</v>
      </c>
      <c r="F49" s="248">
        <f>'2. Pathway 2'!D135</f>
        <v>0</v>
      </c>
      <c r="G49" s="248">
        <f>'3. Pathway 3'!D135</f>
        <v>0</v>
      </c>
      <c r="H49" s="248">
        <f>'4. Pathway 4'!D135</f>
        <v>0</v>
      </c>
      <c r="I49" s="233"/>
      <c r="J49" s="233"/>
      <c r="K49" s="237"/>
    </row>
    <row r="50" spans="1:11" x14ac:dyDescent="0.2">
      <c r="C50" s="252" t="s">
        <v>189</v>
      </c>
      <c r="D50" s="233" t="s">
        <v>177</v>
      </c>
      <c r="E50" s="269">
        <f>IFERROR('1. Pathway 1'!D136,0)</f>
        <v>0</v>
      </c>
      <c r="F50" s="269">
        <f>IFERROR('2. Pathway 2'!D136,0)</f>
        <v>0</v>
      </c>
      <c r="G50" s="269">
        <f>IFERROR('3. Pathway 3'!D136,0)</f>
        <v>0</v>
      </c>
      <c r="H50" s="269">
        <f>IFERROR('4. Pathway 4'!D136,0)</f>
        <v>0</v>
      </c>
      <c r="I50" s="233"/>
      <c r="J50" s="233"/>
      <c r="K50" s="237"/>
    </row>
    <row r="51" spans="1:11" x14ac:dyDescent="0.2">
      <c r="C51" s="252" t="s">
        <v>190</v>
      </c>
      <c r="D51" s="233" t="s">
        <v>191</v>
      </c>
      <c r="E51" s="270">
        <f>'1. Pathway 1'!D137</f>
        <v>0</v>
      </c>
      <c r="F51" s="270">
        <f>'2. Pathway 2'!D137</f>
        <v>0</v>
      </c>
      <c r="G51" s="270">
        <f>'3. Pathway 3'!D137</f>
        <v>0</v>
      </c>
      <c r="H51" s="270">
        <f>'4. Pathway 4'!D137</f>
        <v>0</v>
      </c>
      <c r="I51" s="233"/>
      <c r="J51" s="233"/>
      <c r="K51" s="237"/>
    </row>
    <row r="52" spans="1:11" x14ac:dyDescent="0.2">
      <c r="C52" s="252" t="s">
        <v>192</v>
      </c>
      <c r="D52" s="233" t="s">
        <v>191</v>
      </c>
      <c r="E52" s="270">
        <f>'1. Pathway 1'!D138</f>
        <v>0</v>
      </c>
      <c r="F52" s="270">
        <f>'2. Pathway 2'!D138</f>
        <v>0</v>
      </c>
      <c r="G52" s="270">
        <f>'3. Pathway 3'!D138</f>
        <v>0</v>
      </c>
      <c r="H52" s="270">
        <f>'4. Pathway 4'!D138</f>
        <v>0</v>
      </c>
      <c r="I52" s="233"/>
      <c r="J52" s="233"/>
      <c r="K52" s="237"/>
    </row>
    <row r="53" spans="1:11" x14ac:dyDescent="0.2">
      <c r="C53" s="252" t="s">
        <v>193</v>
      </c>
      <c r="D53" s="233" t="s">
        <v>186</v>
      </c>
      <c r="E53" s="248">
        <f>'1. Pathway 1'!D139</f>
        <v>0</v>
      </c>
      <c r="F53" s="248">
        <f>'2. Pathway 2'!D139</f>
        <v>0</v>
      </c>
      <c r="G53" s="248">
        <f>'3. Pathway 3'!D139</f>
        <v>0</v>
      </c>
      <c r="H53" s="248">
        <f>'4. Pathway 4'!D139</f>
        <v>0</v>
      </c>
      <c r="I53" s="233"/>
      <c r="J53" s="233"/>
      <c r="K53" s="237"/>
    </row>
    <row r="54" spans="1:11" x14ac:dyDescent="0.2">
      <c r="A54" s="48"/>
      <c r="C54" s="252" t="s">
        <v>194</v>
      </c>
      <c r="D54" s="233" t="str">
        <f>'1. Pathway 1'!C140</f>
        <v>€/ton</v>
      </c>
      <c r="E54" s="248">
        <f>'1. Pathway 1'!D140</f>
        <v>0</v>
      </c>
      <c r="F54" s="248">
        <f>'2. Pathway 2'!D140</f>
        <v>0</v>
      </c>
      <c r="G54" s="248">
        <f>'3. Pathway 3'!D140</f>
        <v>0</v>
      </c>
      <c r="H54" s="248">
        <f>'4. Pathway 4'!D140</f>
        <v>0</v>
      </c>
      <c r="I54" s="233"/>
      <c r="J54" s="233"/>
      <c r="K54" s="237"/>
    </row>
    <row r="55" spans="1:11" x14ac:dyDescent="0.2">
      <c r="C55" s="253" t="s">
        <v>195</v>
      </c>
      <c r="D55" s="254" t="str">
        <f>'1. Pathway 1'!C141</f>
        <v>€/ton</v>
      </c>
      <c r="E55" s="255">
        <f>'1. Pathway 1'!D141</f>
        <v>0</v>
      </c>
      <c r="F55" s="248">
        <f>'2. Pathway 2'!D141</f>
        <v>0</v>
      </c>
      <c r="G55" s="248">
        <f>'3. Pathway 3'!D141</f>
        <v>0</v>
      </c>
      <c r="H55" s="248">
        <f>'4. Pathway 4'!D141</f>
        <v>0</v>
      </c>
      <c r="I55" s="233"/>
      <c r="J55" s="233"/>
      <c r="K55" s="237"/>
    </row>
    <row r="56" spans="1:11" x14ac:dyDescent="0.2">
      <c r="C56" s="253" t="s">
        <v>196</v>
      </c>
      <c r="D56" s="254" t="str">
        <f>'1. Pathway 1'!C142</f>
        <v>€/ton</v>
      </c>
      <c r="E56" s="255">
        <f>'1. Pathway 1'!D142</f>
        <v>0</v>
      </c>
      <c r="F56" s="248">
        <f>'2. Pathway 2'!D142</f>
        <v>0</v>
      </c>
      <c r="G56" s="248">
        <f>'3. Pathway 3'!D142</f>
        <v>0</v>
      </c>
      <c r="H56" s="248">
        <f>'4. Pathway 4'!D142</f>
        <v>0</v>
      </c>
      <c r="I56" s="233"/>
      <c r="J56" s="233"/>
      <c r="K56" s="237"/>
    </row>
    <row r="57" spans="1:11" x14ac:dyDescent="0.2">
      <c r="C57" s="267" t="s">
        <v>197</v>
      </c>
      <c r="D57" s="261" t="str">
        <f>'1. Pathway 1'!C174</f>
        <v>ton CO2eq/FU</v>
      </c>
      <c r="E57" s="271">
        <f>'1. Pathway 1'!D174</f>
        <v>0</v>
      </c>
      <c r="F57" s="271">
        <f>'2. Pathway 2'!D174</f>
        <v>0</v>
      </c>
      <c r="G57" s="271">
        <f>'3. Pathway 3'!D174</f>
        <v>0</v>
      </c>
      <c r="H57" s="271">
        <f>'4. Pathway 4'!D174</f>
        <v>0</v>
      </c>
      <c r="I57" s="261"/>
      <c r="J57" s="261"/>
      <c r="K57" s="266"/>
    </row>
    <row r="58" spans="1:11" x14ac:dyDescent="0.2">
      <c r="C58" s="256"/>
      <c r="D58" s="233" t="str">
        <f>'1. Pathway 1'!C175</f>
        <v>ton CO2eq/yr</v>
      </c>
      <c r="E58" s="272">
        <f>'1. Pathway 1'!D175</f>
        <v>0</v>
      </c>
      <c r="F58" s="272">
        <f>'2. Pathway 2'!D175</f>
        <v>0</v>
      </c>
      <c r="G58" s="272">
        <f>'3. Pathway 3'!D175</f>
        <v>0</v>
      </c>
      <c r="H58" s="272">
        <f>'4. Pathway 4'!D175</f>
        <v>0</v>
      </c>
      <c r="I58" s="233"/>
      <c r="J58" s="233"/>
      <c r="K58" s="237"/>
    </row>
    <row r="59" spans="1:11" ht="13.8" x14ac:dyDescent="0.3">
      <c r="C59" s="256" t="s">
        <v>198</v>
      </c>
      <c r="D59" s="233" t="str">
        <f>'1. Pathway 1'!C176</f>
        <v>ton CO2eq/FU</v>
      </c>
      <c r="E59" s="272">
        <f>'1. Pathway 1'!D176</f>
        <v>0</v>
      </c>
      <c r="F59" s="272">
        <f>'2. Pathway 2'!D176</f>
        <v>0</v>
      </c>
      <c r="G59" s="272">
        <f>'3. Pathway 3'!D176</f>
        <v>0</v>
      </c>
      <c r="H59" s="272">
        <f>'4. Pathway 4'!D176</f>
        <v>0</v>
      </c>
      <c r="I59" s="233"/>
      <c r="J59" s="233"/>
      <c r="K59" s="237"/>
    </row>
    <row r="60" spans="1:11" x14ac:dyDescent="0.2">
      <c r="C60" s="256"/>
      <c r="D60" s="233" t="str">
        <f>'1. Pathway 1'!C177</f>
        <v>ton CO2eq/yr</v>
      </c>
      <c r="E60" s="272">
        <f>'1. Pathway 1'!D177</f>
        <v>0</v>
      </c>
      <c r="F60" s="272">
        <f>'2. Pathway 2'!D177</f>
        <v>0</v>
      </c>
      <c r="G60" s="272">
        <f>'3. Pathway 3'!D177</f>
        <v>0</v>
      </c>
      <c r="H60" s="272">
        <f>'4. Pathway 4'!D177</f>
        <v>0</v>
      </c>
      <c r="I60" s="233"/>
      <c r="J60" s="233"/>
      <c r="K60" s="237"/>
    </row>
    <row r="61" spans="1:11" x14ac:dyDescent="0.2">
      <c r="A61" s="48"/>
      <c r="C61" s="268" t="s">
        <v>199</v>
      </c>
      <c r="D61" s="261" t="str">
        <f>'1. Pathway 1'!C180</f>
        <v>€/ton CO2eq avoided</v>
      </c>
      <c r="E61" s="271">
        <f>'1. Pathway 1'!D180</f>
        <v>0</v>
      </c>
      <c r="F61" s="271">
        <f>'2. Pathway 2'!D180</f>
        <v>0</v>
      </c>
      <c r="G61" s="271">
        <f>'3. Pathway 3'!D180</f>
        <v>0</v>
      </c>
      <c r="H61" s="271">
        <f>'4. Pathway 4'!D180</f>
        <v>0</v>
      </c>
      <c r="I61" s="261"/>
      <c r="J61" s="261"/>
      <c r="K61" s="266"/>
    </row>
    <row r="62" spans="1:11" ht="14.4" thickBot="1" x14ac:dyDescent="0.35">
      <c r="C62" s="257" t="s">
        <v>200</v>
      </c>
      <c r="D62" s="241" t="str">
        <f>'1. Pathway 1'!C181</f>
        <v>MWh/ton CO2eq avoided</v>
      </c>
      <c r="E62" s="273">
        <f>'1. Pathway 1'!D181</f>
        <v>0</v>
      </c>
      <c r="F62" s="273">
        <f>'2. Pathway 2'!D181</f>
        <v>0</v>
      </c>
      <c r="G62" s="273">
        <f>'3. Pathway 3'!D181</f>
        <v>0</v>
      </c>
      <c r="H62" s="273">
        <f>'4. Pathway 4'!D181</f>
        <v>0</v>
      </c>
      <c r="I62" s="241"/>
      <c r="J62" s="241"/>
      <c r="K62" s="242"/>
    </row>
    <row r="65" spans="3:16" x14ac:dyDescent="0.2">
      <c r="C65" s="6" t="s">
        <v>201</v>
      </c>
    </row>
    <row r="66" spans="3:16" x14ac:dyDescent="0.2">
      <c r="C66" s="59" t="s">
        <v>202</v>
      </c>
    </row>
    <row r="67" spans="3:16" ht="85.2" customHeight="1" x14ac:dyDescent="0.2">
      <c r="C67" s="417"/>
      <c r="D67" s="418"/>
      <c r="E67" s="418"/>
      <c r="F67" s="418"/>
      <c r="G67" s="418"/>
      <c r="H67" s="418"/>
      <c r="I67" s="419"/>
      <c r="J67" s="12"/>
      <c r="K67" s="12"/>
      <c r="L67" s="12"/>
      <c r="M67" s="12"/>
      <c r="N67" s="12"/>
      <c r="O67" s="12"/>
      <c r="P67" s="12"/>
    </row>
    <row r="69" spans="3:16" x14ac:dyDescent="0.2">
      <c r="C69" s="6" t="s">
        <v>203</v>
      </c>
    </row>
    <row r="70" spans="3:16" x14ac:dyDescent="0.2">
      <c r="C70" s="59" t="s">
        <v>204</v>
      </c>
    </row>
    <row r="71" spans="3:16" ht="85.2" customHeight="1" x14ac:dyDescent="0.2">
      <c r="C71" s="417"/>
      <c r="D71" s="418"/>
      <c r="E71" s="418"/>
      <c r="F71" s="418"/>
      <c r="G71" s="418"/>
      <c r="H71" s="418"/>
      <c r="I71" s="419"/>
      <c r="J71" s="12"/>
      <c r="K71" s="12"/>
      <c r="L71" s="12"/>
      <c r="M71" s="12"/>
      <c r="N71" s="12"/>
      <c r="O71" s="12"/>
      <c r="P71" s="12"/>
    </row>
    <row r="73" spans="3:16" x14ac:dyDescent="0.2">
      <c r="C73" s="6" t="s">
        <v>205</v>
      </c>
    </row>
    <row r="74" spans="3:16" x14ac:dyDescent="0.2">
      <c r="C74" s="59" t="s">
        <v>206</v>
      </c>
    </row>
    <row r="75" spans="3:16" ht="85.2" customHeight="1" x14ac:dyDescent="0.2">
      <c r="C75" s="417"/>
      <c r="D75" s="418"/>
      <c r="E75" s="418"/>
      <c r="F75" s="418"/>
      <c r="G75" s="418"/>
      <c r="H75" s="418"/>
      <c r="I75" s="419"/>
    </row>
    <row r="77" spans="3:16" x14ac:dyDescent="0.2">
      <c r="C77" s="6" t="s">
        <v>207</v>
      </c>
    </row>
    <row r="78" spans="3:16" x14ac:dyDescent="0.2">
      <c r="C78" s="59" t="s">
        <v>208</v>
      </c>
    </row>
    <row r="79" spans="3:16" ht="85.2" customHeight="1" x14ac:dyDescent="0.2">
      <c r="C79" s="417"/>
      <c r="D79" s="418"/>
      <c r="E79" s="418"/>
      <c r="F79" s="418"/>
      <c r="G79" s="418"/>
      <c r="H79" s="418"/>
      <c r="I79" s="419"/>
    </row>
    <row r="81" spans="3:9" x14ac:dyDescent="0.2">
      <c r="C81" s="6" t="s">
        <v>209</v>
      </c>
    </row>
    <row r="82" spans="3:9" x14ac:dyDescent="0.2">
      <c r="C82" s="59" t="s">
        <v>210</v>
      </c>
    </row>
    <row r="83" spans="3:9" ht="85.2" customHeight="1" x14ac:dyDescent="0.2">
      <c r="C83" s="417"/>
      <c r="D83" s="418"/>
      <c r="E83" s="418"/>
      <c r="F83" s="418"/>
      <c r="G83" s="418"/>
      <c r="H83" s="418"/>
      <c r="I83" s="419"/>
    </row>
  </sheetData>
  <mergeCells count="13">
    <mergeCell ref="C75:I75"/>
    <mergeCell ref="C79:I79"/>
    <mergeCell ref="C83:I83"/>
    <mergeCell ref="D5:I5"/>
    <mergeCell ref="D6:I6"/>
    <mergeCell ref="D7:I7"/>
    <mergeCell ref="D8:I8"/>
    <mergeCell ref="C67:I67"/>
    <mergeCell ref="C3:D3"/>
    <mergeCell ref="C12:D12"/>
    <mergeCell ref="C20:D20"/>
    <mergeCell ref="C27:D27"/>
    <mergeCell ref="C71:I71"/>
  </mergeCells>
  <dataValidations count="4">
    <dataValidation allowBlank="1" showInputMessage="1" showErrorMessage="1" prompt="Often around 90% is assumed to correct for general maintenance. " sqref="C16:D16" xr:uid="{EBBE67C2-0D1A-4424-80AD-B7248F1D25ED}"/>
    <dataValidation allowBlank="1" showInputMessage="1" showErrorMessage="1" prompt="Total amount of feedstock processed in the plant in 1 year. " sqref="C14:D14" xr:uid="{327AEF54-354C-4562-82FF-EE52F04DCED3}"/>
    <dataValidation allowBlank="1" showInputMessage="1" showErrorMessage="1" prompt="Total amount of targeted product produced in 1 year. " sqref="C15:D15" xr:uid="{06FC7664-AFF2-44B9-93FA-24DCDF8EBE7B}"/>
    <dataValidation type="whole" allowBlank="1" showInputMessage="1" showErrorMessage="1" error="Should be 0 or 1." prompt="0 = no subsidies included_x000a_1 = subsidies included " sqref="E22:H22" xr:uid="{584D97D3-9BE3-494C-901A-686C561F9D54}">
      <formula1>0</formula1>
      <formula2>1</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D5D7-AED4-4227-952D-5CC0F85DBFF1}">
  <sheetPr codeName="Sheet2">
    <tabColor theme="4" tint="0.79998168889431442"/>
  </sheetPr>
  <dimension ref="A1:L136"/>
  <sheetViews>
    <sheetView zoomScaleNormal="100" workbookViewId="0">
      <pane xSplit="1" topLeftCell="B1" activePane="topRight" state="frozen"/>
      <selection pane="topRight"/>
    </sheetView>
  </sheetViews>
  <sheetFormatPr defaultColWidth="9.33203125" defaultRowHeight="11.4" x14ac:dyDescent="0.2"/>
  <cols>
    <col min="1" max="2" width="30.6640625" style="1" customWidth="1"/>
    <col min="3" max="3" width="15.6640625" style="1" customWidth="1"/>
    <col min="4" max="4" width="40.6640625" style="1" customWidth="1"/>
    <col min="5" max="5" width="15.6640625" style="2" customWidth="1"/>
    <col min="6" max="6" width="20.6640625" style="1" customWidth="1"/>
    <col min="7" max="7" width="15.6640625" style="56" customWidth="1"/>
    <col min="8" max="8" width="13.6640625" style="80" customWidth="1"/>
    <col min="9" max="14" width="20.6640625" style="1" customWidth="1"/>
    <col min="15" max="16384" width="9.33203125" style="1"/>
  </cols>
  <sheetData>
    <row r="1" spans="1:12" ht="144" customHeight="1" x14ac:dyDescent="0.2"/>
    <row r="4" spans="1:12" ht="19.8" x14ac:dyDescent="0.3">
      <c r="B4" s="3" t="s">
        <v>211</v>
      </c>
      <c r="E4"/>
    </row>
    <row r="8" spans="1:12" s="112" customFormat="1" x14ac:dyDescent="0.3">
      <c r="A8" s="102"/>
      <c r="B8" s="113"/>
      <c r="C8" s="114"/>
      <c r="D8" s="113" t="s">
        <v>156</v>
      </c>
      <c r="E8" s="108" t="s">
        <v>157</v>
      </c>
      <c r="F8" s="113" t="s">
        <v>212</v>
      </c>
      <c r="G8" s="109" t="s">
        <v>213</v>
      </c>
      <c r="H8" s="110" t="s">
        <v>214</v>
      </c>
      <c r="I8" s="111" t="str">
        <f>'Pathway definition and results'!E13</f>
        <v xml:space="preserve">1. Pathway 1 </v>
      </c>
      <c r="J8" s="108" t="str">
        <f>'Pathway definition and results'!F13</f>
        <v>2. Pathway 2</v>
      </c>
      <c r="K8" s="108" t="str">
        <f>'Pathway definition and results'!G13</f>
        <v>3. Pathway 3</v>
      </c>
      <c r="L8" s="108" t="str">
        <f>'Pathway definition and results'!H13</f>
        <v xml:space="preserve">4. Pathway 4 </v>
      </c>
    </row>
    <row r="9" spans="1:12" s="14" customFormat="1" x14ac:dyDescent="0.2">
      <c r="A9" s="1"/>
      <c r="B9" s="17" t="s">
        <v>215</v>
      </c>
      <c r="E9" s="55"/>
      <c r="G9" s="57"/>
      <c r="H9" s="81"/>
      <c r="I9" s="18"/>
    </row>
    <row r="10" spans="1:12" x14ac:dyDescent="0.2">
      <c r="B10" s="16" t="s">
        <v>216</v>
      </c>
      <c r="C10" s="15" t="s">
        <v>217</v>
      </c>
      <c r="D10" s="1" t="s">
        <v>155</v>
      </c>
      <c r="E10" s="2" t="s">
        <v>159</v>
      </c>
      <c r="I10" s="160"/>
      <c r="J10" s="146"/>
      <c r="K10" s="146"/>
      <c r="L10" s="146"/>
    </row>
    <row r="11" spans="1:12" x14ac:dyDescent="0.2">
      <c r="B11" s="14"/>
      <c r="C11" s="15"/>
      <c r="D11" s="1" t="s">
        <v>218</v>
      </c>
      <c r="E11" s="2" t="s">
        <v>177</v>
      </c>
      <c r="I11" s="19"/>
    </row>
    <row r="12" spans="1:12" x14ac:dyDescent="0.2">
      <c r="B12" s="14"/>
      <c r="C12" s="15"/>
      <c r="D12" s="1" t="s">
        <v>219</v>
      </c>
      <c r="I12" s="19"/>
    </row>
    <row r="13" spans="1:12" x14ac:dyDescent="0.2">
      <c r="B13" s="14"/>
      <c r="C13" s="15"/>
      <c r="D13" s="1" t="s">
        <v>220</v>
      </c>
      <c r="I13" s="19"/>
    </row>
    <row r="14" spans="1:12" x14ac:dyDescent="0.2">
      <c r="B14" s="14"/>
      <c r="C14" s="15"/>
      <c r="D14" s="1" t="s">
        <v>220</v>
      </c>
      <c r="I14" s="19"/>
    </row>
    <row r="15" spans="1:12" x14ac:dyDescent="0.2">
      <c r="B15" s="14"/>
      <c r="C15" s="15"/>
      <c r="I15" s="19"/>
    </row>
    <row r="16" spans="1:12" x14ac:dyDescent="0.2">
      <c r="B16" s="14"/>
      <c r="C16" s="59"/>
      <c r="I16" s="19"/>
    </row>
    <row r="17" spans="1:9" x14ac:dyDescent="0.2">
      <c r="B17" s="16" t="s">
        <v>221</v>
      </c>
      <c r="C17" s="15" t="s">
        <v>217</v>
      </c>
      <c r="I17" s="19"/>
    </row>
    <row r="18" spans="1:9" x14ac:dyDescent="0.2">
      <c r="B18" s="14"/>
      <c r="C18" s="15" t="s">
        <v>222</v>
      </c>
      <c r="I18" s="19"/>
    </row>
    <row r="19" spans="1:9" x14ac:dyDescent="0.2">
      <c r="B19" s="14"/>
      <c r="C19" s="15" t="s">
        <v>223</v>
      </c>
      <c r="I19" s="19"/>
    </row>
    <row r="20" spans="1:9" x14ac:dyDescent="0.2">
      <c r="B20" s="14"/>
      <c r="C20" s="15" t="s">
        <v>224</v>
      </c>
      <c r="I20" s="19"/>
    </row>
    <row r="21" spans="1:9" x14ac:dyDescent="0.2">
      <c r="B21" s="14"/>
      <c r="C21" s="15" t="s">
        <v>225</v>
      </c>
      <c r="I21" s="19"/>
    </row>
    <row r="22" spans="1:9" x14ac:dyDescent="0.2">
      <c r="B22" s="14"/>
      <c r="C22" s="15" t="s">
        <v>226</v>
      </c>
      <c r="I22" s="19"/>
    </row>
    <row r="23" spans="1:9" x14ac:dyDescent="0.2">
      <c r="B23" s="14"/>
      <c r="C23" s="15" t="s">
        <v>227</v>
      </c>
      <c r="I23" s="19"/>
    </row>
    <row r="24" spans="1:9" x14ac:dyDescent="0.2">
      <c r="B24" s="14"/>
      <c r="C24" s="59" t="s">
        <v>228</v>
      </c>
      <c r="I24" s="19"/>
    </row>
    <row r="25" spans="1:9" x14ac:dyDescent="0.2">
      <c r="B25" s="14"/>
      <c r="I25" s="19"/>
    </row>
    <row r="26" spans="1:9" x14ac:dyDescent="0.2">
      <c r="B26" s="14"/>
      <c r="I26" s="19"/>
    </row>
    <row r="27" spans="1:9" s="14" customFormat="1" x14ac:dyDescent="0.2">
      <c r="A27" s="1"/>
      <c r="B27" s="17" t="s">
        <v>229</v>
      </c>
      <c r="E27" s="55"/>
      <c r="G27" s="57"/>
      <c r="H27" s="81"/>
      <c r="I27" s="18"/>
    </row>
    <row r="28" spans="1:9" x14ac:dyDescent="0.2">
      <c r="B28" s="16" t="s">
        <v>230</v>
      </c>
      <c r="C28" s="15" t="s">
        <v>217</v>
      </c>
      <c r="I28" s="19"/>
    </row>
    <row r="29" spans="1:9" x14ac:dyDescent="0.2">
      <c r="B29" s="14"/>
      <c r="C29" s="15" t="s">
        <v>222</v>
      </c>
      <c r="I29" s="19"/>
    </row>
    <row r="30" spans="1:9" x14ac:dyDescent="0.2">
      <c r="B30" s="14"/>
      <c r="C30" s="15" t="s">
        <v>223</v>
      </c>
      <c r="I30" s="19"/>
    </row>
    <row r="31" spans="1:9" x14ac:dyDescent="0.2">
      <c r="B31" s="14"/>
      <c r="C31" s="15" t="s">
        <v>224</v>
      </c>
      <c r="I31" s="19"/>
    </row>
    <row r="32" spans="1:9" x14ac:dyDescent="0.2">
      <c r="B32" s="14"/>
      <c r="C32" s="15" t="s">
        <v>225</v>
      </c>
      <c r="I32" s="19"/>
    </row>
    <row r="33" spans="1:9" x14ac:dyDescent="0.2">
      <c r="B33" s="14"/>
      <c r="C33" s="15" t="s">
        <v>226</v>
      </c>
      <c r="I33" s="19"/>
    </row>
    <row r="34" spans="1:9" x14ac:dyDescent="0.2">
      <c r="B34" s="14"/>
      <c r="C34" s="15" t="s">
        <v>227</v>
      </c>
      <c r="I34" s="19"/>
    </row>
    <row r="35" spans="1:9" x14ac:dyDescent="0.2">
      <c r="B35" s="14"/>
      <c r="C35" s="15" t="s">
        <v>228</v>
      </c>
      <c r="I35" s="19"/>
    </row>
    <row r="36" spans="1:9" x14ac:dyDescent="0.2">
      <c r="B36" s="14"/>
      <c r="C36" s="15"/>
      <c r="I36" s="19"/>
    </row>
    <row r="37" spans="1:9" x14ac:dyDescent="0.2">
      <c r="B37" s="14"/>
      <c r="I37" s="19"/>
    </row>
    <row r="38" spans="1:9" s="14" customFormat="1" x14ac:dyDescent="0.2">
      <c r="A38" s="1"/>
      <c r="B38" s="17" t="s">
        <v>231</v>
      </c>
      <c r="E38" s="55"/>
      <c r="G38" s="57"/>
      <c r="H38" s="81"/>
      <c r="I38" s="18"/>
    </row>
    <row r="39" spans="1:9" x14ac:dyDescent="0.2">
      <c r="B39" s="16" t="s">
        <v>230</v>
      </c>
      <c r="C39" s="15" t="s">
        <v>217</v>
      </c>
      <c r="D39" s="1" t="s">
        <v>232</v>
      </c>
      <c r="E39" s="2" t="s">
        <v>233</v>
      </c>
      <c r="I39" s="19"/>
    </row>
    <row r="40" spans="1:9" x14ac:dyDescent="0.2">
      <c r="B40" s="16"/>
      <c r="C40" s="15"/>
      <c r="D40" s="1" t="s">
        <v>234</v>
      </c>
      <c r="E40" s="2" t="s">
        <v>233</v>
      </c>
      <c r="I40" s="19"/>
    </row>
    <row r="41" spans="1:9" x14ac:dyDescent="0.2">
      <c r="B41" s="16"/>
      <c r="C41" s="15"/>
      <c r="D41" s="1" t="s">
        <v>235</v>
      </c>
      <c r="E41" s="2" t="s">
        <v>177</v>
      </c>
      <c r="I41" s="19"/>
    </row>
    <row r="42" spans="1:9" x14ac:dyDescent="0.2">
      <c r="B42" s="16"/>
      <c r="C42" s="15"/>
      <c r="D42" s="1" t="s">
        <v>236</v>
      </c>
      <c r="E42" s="2" t="s">
        <v>233</v>
      </c>
      <c r="I42" s="19"/>
    </row>
    <row r="43" spans="1:9" x14ac:dyDescent="0.2">
      <c r="B43" s="16"/>
      <c r="C43" s="15"/>
      <c r="D43" s="1" t="s">
        <v>237</v>
      </c>
      <c r="E43" s="2" t="s">
        <v>191</v>
      </c>
      <c r="I43" s="19"/>
    </row>
    <row r="44" spans="1:9" x14ac:dyDescent="0.2">
      <c r="B44" s="16"/>
      <c r="C44" s="15"/>
      <c r="D44" s="1" t="s">
        <v>238</v>
      </c>
      <c r="E44" s="2" t="s">
        <v>177</v>
      </c>
      <c r="I44" s="19"/>
    </row>
    <row r="45" spans="1:9" x14ac:dyDescent="0.2">
      <c r="B45" s="16"/>
      <c r="C45" s="15"/>
      <c r="D45" s="1" t="s">
        <v>239</v>
      </c>
      <c r="E45" s="2" t="s">
        <v>177</v>
      </c>
      <c r="I45" s="19"/>
    </row>
    <row r="46" spans="1:9" x14ac:dyDescent="0.2">
      <c r="B46" s="16"/>
      <c r="C46" s="15"/>
      <c r="D46" s="1" t="s">
        <v>240</v>
      </c>
      <c r="E46" s="2" t="s">
        <v>177</v>
      </c>
      <c r="I46" s="19"/>
    </row>
    <row r="47" spans="1:9" x14ac:dyDescent="0.2">
      <c r="B47" s="16"/>
      <c r="C47" s="15"/>
      <c r="D47" s="1" t="s">
        <v>241</v>
      </c>
      <c r="E47" s="2" t="s">
        <v>177</v>
      </c>
      <c r="I47" s="19"/>
    </row>
    <row r="48" spans="1:9" x14ac:dyDescent="0.2">
      <c r="B48" s="14"/>
      <c r="C48" s="15" t="s">
        <v>222</v>
      </c>
      <c r="D48" s="1" t="s">
        <v>242</v>
      </c>
      <c r="E48" s="2" t="s">
        <v>177</v>
      </c>
      <c r="I48" s="19"/>
    </row>
    <row r="49" spans="2:9" x14ac:dyDescent="0.2">
      <c r="B49" s="14"/>
      <c r="C49" s="15"/>
      <c r="D49" s="1" t="s">
        <v>243</v>
      </c>
      <c r="E49" s="2" t="s">
        <v>177</v>
      </c>
      <c r="I49" s="19"/>
    </row>
    <row r="50" spans="2:9" x14ac:dyDescent="0.2">
      <c r="B50" s="14"/>
      <c r="C50" s="15"/>
      <c r="D50" s="1" t="s">
        <v>244</v>
      </c>
      <c r="E50" s="2" t="s">
        <v>177</v>
      </c>
      <c r="I50" s="19"/>
    </row>
    <row r="51" spans="2:9" x14ac:dyDescent="0.2">
      <c r="B51" s="14"/>
      <c r="C51" s="15"/>
      <c r="D51" s="1" t="s">
        <v>245</v>
      </c>
      <c r="E51" s="2" t="s">
        <v>177</v>
      </c>
      <c r="I51" s="19"/>
    </row>
    <row r="52" spans="2:9" x14ac:dyDescent="0.2">
      <c r="B52" s="14"/>
      <c r="C52" s="15" t="s">
        <v>223</v>
      </c>
      <c r="D52" s="1" t="s">
        <v>246</v>
      </c>
      <c r="E52" s="2" t="s">
        <v>247</v>
      </c>
      <c r="I52" s="19"/>
    </row>
    <row r="53" spans="2:9" x14ac:dyDescent="0.2">
      <c r="B53" s="14"/>
      <c r="C53" s="15"/>
      <c r="D53" s="1" t="s">
        <v>248</v>
      </c>
      <c r="E53" s="2" t="s">
        <v>247</v>
      </c>
      <c r="I53" s="19"/>
    </row>
    <row r="54" spans="2:9" x14ac:dyDescent="0.2">
      <c r="B54" s="14"/>
      <c r="C54" s="15"/>
      <c r="D54" s="1" t="s">
        <v>249</v>
      </c>
      <c r="E54" s="2" t="s">
        <v>247</v>
      </c>
      <c r="I54" s="19"/>
    </row>
    <row r="55" spans="2:9" x14ac:dyDescent="0.2">
      <c r="B55" s="14"/>
      <c r="C55" s="15"/>
      <c r="D55" s="1" t="s">
        <v>250</v>
      </c>
      <c r="E55" s="2" t="s">
        <v>251</v>
      </c>
      <c r="I55" s="19"/>
    </row>
    <row r="56" spans="2:9" x14ac:dyDescent="0.2">
      <c r="B56" s="14"/>
      <c r="C56" s="15"/>
      <c r="D56" s="1" t="s">
        <v>252</v>
      </c>
      <c r="I56" s="19"/>
    </row>
    <row r="57" spans="2:9" ht="12" x14ac:dyDescent="0.25">
      <c r="B57" s="14"/>
      <c r="C57" s="15"/>
      <c r="D57" s="1" t="s">
        <v>253</v>
      </c>
      <c r="E57" s="2" t="s">
        <v>254</v>
      </c>
      <c r="I57" s="19"/>
    </row>
    <row r="58" spans="2:9" ht="12" x14ac:dyDescent="0.25">
      <c r="B58" s="14"/>
      <c r="C58" s="15"/>
      <c r="D58" s="1" t="s">
        <v>255</v>
      </c>
      <c r="E58" s="2" t="s">
        <v>254</v>
      </c>
      <c r="I58" s="19"/>
    </row>
    <row r="59" spans="2:9" x14ac:dyDescent="0.2">
      <c r="B59" s="14"/>
      <c r="C59" s="15"/>
      <c r="D59" s="1" t="s">
        <v>256</v>
      </c>
      <c r="E59" s="2" t="s">
        <v>257</v>
      </c>
      <c r="I59" s="19"/>
    </row>
    <row r="60" spans="2:9" x14ac:dyDescent="0.2">
      <c r="B60" s="14"/>
      <c r="C60" s="15"/>
      <c r="D60" s="1" t="s">
        <v>258</v>
      </c>
      <c r="E60" s="2" t="s">
        <v>259</v>
      </c>
      <c r="I60" s="19"/>
    </row>
    <row r="61" spans="2:9" x14ac:dyDescent="0.2">
      <c r="B61" s="14"/>
      <c r="C61" s="15" t="s">
        <v>224</v>
      </c>
      <c r="D61" s="1" t="s">
        <v>260</v>
      </c>
      <c r="E61" s="2" t="s">
        <v>251</v>
      </c>
      <c r="I61" s="19"/>
    </row>
    <row r="62" spans="2:9" x14ac:dyDescent="0.2">
      <c r="B62" s="14"/>
      <c r="C62" s="15"/>
      <c r="D62" s="1" t="s">
        <v>261</v>
      </c>
      <c r="E62" s="2" t="s">
        <v>262</v>
      </c>
      <c r="I62" s="19"/>
    </row>
    <row r="63" spans="2:9" x14ac:dyDescent="0.2">
      <c r="B63" s="14"/>
      <c r="C63" s="15"/>
      <c r="D63" s="1" t="s">
        <v>263</v>
      </c>
      <c r="E63" s="2" t="s">
        <v>264</v>
      </c>
      <c r="I63" s="19"/>
    </row>
    <row r="64" spans="2:9" x14ac:dyDescent="0.2">
      <c r="B64" s="14"/>
      <c r="C64" s="15"/>
      <c r="D64" s="1" t="s">
        <v>265</v>
      </c>
      <c r="E64" s="2" t="s">
        <v>162</v>
      </c>
      <c r="I64" s="19"/>
    </row>
    <row r="65" spans="2:9" x14ac:dyDescent="0.2">
      <c r="B65" s="14"/>
      <c r="C65" s="15"/>
      <c r="D65" s="1" t="s">
        <v>266</v>
      </c>
      <c r="E65" s="2" t="s">
        <v>267</v>
      </c>
      <c r="I65" s="19"/>
    </row>
    <row r="66" spans="2:9" x14ac:dyDescent="0.2">
      <c r="B66" s="14"/>
      <c r="C66" s="15" t="s">
        <v>225</v>
      </c>
      <c r="D66" s="1" t="s">
        <v>268</v>
      </c>
      <c r="E66" s="2" t="s">
        <v>267</v>
      </c>
      <c r="I66" s="19"/>
    </row>
    <row r="67" spans="2:9" x14ac:dyDescent="0.2">
      <c r="B67" s="14"/>
      <c r="D67" s="1" t="s">
        <v>269</v>
      </c>
      <c r="I67" s="19"/>
    </row>
    <row r="68" spans="2:9" x14ac:dyDescent="0.2">
      <c r="B68" s="14"/>
      <c r="D68" s="1" t="s">
        <v>270</v>
      </c>
      <c r="I68" s="19"/>
    </row>
    <row r="69" spans="2:9" x14ac:dyDescent="0.2">
      <c r="B69" s="14"/>
      <c r="D69" s="1" t="s">
        <v>271</v>
      </c>
      <c r="I69" s="19"/>
    </row>
    <row r="70" spans="2:9" x14ac:dyDescent="0.2">
      <c r="B70" s="14"/>
      <c r="C70" s="59" t="s">
        <v>272</v>
      </c>
      <c r="D70" s="1" t="s">
        <v>273</v>
      </c>
      <c r="E70" s="2" t="s">
        <v>177</v>
      </c>
      <c r="I70" s="19"/>
    </row>
    <row r="71" spans="2:9" x14ac:dyDescent="0.2">
      <c r="B71" s="14"/>
      <c r="D71" s="1" t="s">
        <v>274</v>
      </c>
      <c r="E71" s="2" t="s">
        <v>267</v>
      </c>
      <c r="I71" s="19"/>
    </row>
    <row r="72" spans="2:9" ht="13.8" x14ac:dyDescent="0.3">
      <c r="B72" s="14"/>
      <c r="C72" s="59" t="s">
        <v>227</v>
      </c>
      <c r="D72" s="1" t="s">
        <v>275</v>
      </c>
      <c r="I72" s="19"/>
    </row>
    <row r="73" spans="2:9" ht="13.8" x14ac:dyDescent="0.3">
      <c r="B73" s="14"/>
      <c r="D73" s="1" t="s">
        <v>276</v>
      </c>
      <c r="I73" s="19"/>
    </row>
    <row r="74" spans="2:9" ht="13.8" x14ac:dyDescent="0.3">
      <c r="B74" s="14"/>
      <c r="D74" s="1" t="s">
        <v>277</v>
      </c>
      <c r="I74" s="19"/>
    </row>
    <row r="75" spans="2:9" x14ac:dyDescent="0.2">
      <c r="B75" s="14"/>
      <c r="D75" s="1" t="s">
        <v>278</v>
      </c>
      <c r="I75" s="19"/>
    </row>
    <row r="76" spans="2:9" ht="13.8" x14ac:dyDescent="0.3">
      <c r="B76" s="14"/>
      <c r="D76" s="1" t="s">
        <v>279</v>
      </c>
      <c r="I76" s="19"/>
    </row>
    <row r="77" spans="2:9" x14ac:dyDescent="0.2">
      <c r="B77" s="14"/>
      <c r="C77" s="59" t="s">
        <v>228</v>
      </c>
      <c r="D77" s="1" t="s">
        <v>280</v>
      </c>
      <c r="E77" s="2" t="s">
        <v>267</v>
      </c>
      <c r="I77" s="19"/>
    </row>
    <row r="78" spans="2:9" x14ac:dyDescent="0.2">
      <c r="B78" s="14"/>
      <c r="C78" s="59"/>
      <c r="D78" s="1" t="s">
        <v>281</v>
      </c>
      <c r="E78" s="2" t="s">
        <v>282</v>
      </c>
      <c r="I78" s="19"/>
    </row>
    <row r="79" spans="2:9" x14ac:dyDescent="0.2">
      <c r="B79" s="14"/>
      <c r="C79" s="59"/>
      <c r="D79" s="1" t="s">
        <v>252</v>
      </c>
      <c r="I79" s="19"/>
    </row>
    <row r="80" spans="2:9" x14ac:dyDescent="0.2">
      <c r="B80" s="14"/>
      <c r="C80" s="59"/>
      <c r="I80" s="19"/>
    </row>
    <row r="81" spans="1:9" x14ac:dyDescent="0.2">
      <c r="B81" s="16" t="s">
        <v>230</v>
      </c>
      <c r="C81" s="15" t="s">
        <v>217</v>
      </c>
      <c r="I81" s="19"/>
    </row>
    <row r="82" spans="1:9" x14ac:dyDescent="0.2">
      <c r="B82" s="14"/>
      <c r="C82" s="15" t="s">
        <v>222</v>
      </c>
      <c r="I82" s="19"/>
    </row>
    <row r="83" spans="1:9" x14ac:dyDescent="0.2">
      <c r="B83" s="14"/>
      <c r="C83" s="15" t="s">
        <v>223</v>
      </c>
      <c r="I83" s="19"/>
    </row>
    <row r="84" spans="1:9" x14ac:dyDescent="0.2">
      <c r="B84" s="14"/>
      <c r="C84" s="15" t="s">
        <v>224</v>
      </c>
      <c r="I84" s="19"/>
    </row>
    <row r="85" spans="1:9" x14ac:dyDescent="0.2">
      <c r="B85" s="14"/>
      <c r="C85" s="15" t="s">
        <v>225</v>
      </c>
      <c r="I85" s="19"/>
    </row>
    <row r="86" spans="1:9" x14ac:dyDescent="0.2">
      <c r="B86" s="14"/>
      <c r="C86" s="15" t="s">
        <v>226</v>
      </c>
      <c r="I86" s="19"/>
    </row>
    <row r="87" spans="1:9" x14ac:dyDescent="0.2">
      <c r="B87" s="14"/>
      <c r="C87" s="15" t="s">
        <v>227</v>
      </c>
      <c r="I87" s="19"/>
    </row>
    <row r="88" spans="1:9" x14ac:dyDescent="0.2">
      <c r="B88" s="14"/>
      <c r="C88" s="59" t="s">
        <v>228</v>
      </c>
      <c r="I88" s="19"/>
    </row>
    <row r="89" spans="1:9" x14ac:dyDescent="0.2">
      <c r="B89" s="14"/>
      <c r="I89" s="19"/>
    </row>
    <row r="90" spans="1:9" x14ac:dyDescent="0.2">
      <c r="B90" s="14"/>
      <c r="I90" s="19"/>
    </row>
    <row r="91" spans="1:9" s="14" customFormat="1" x14ac:dyDescent="0.2">
      <c r="A91" s="1"/>
      <c r="B91" s="17" t="s">
        <v>283</v>
      </c>
      <c r="E91" s="55"/>
      <c r="G91" s="57"/>
      <c r="H91" s="81"/>
      <c r="I91" s="18"/>
    </row>
    <row r="92" spans="1:9" x14ac:dyDescent="0.2">
      <c r="B92" s="16" t="s">
        <v>230</v>
      </c>
      <c r="C92" s="15" t="s">
        <v>217</v>
      </c>
      <c r="I92" s="19"/>
    </row>
    <row r="93" spans="1:9" x14ac:dyDescent="0.2">
      <c r="B93" s="14"/>
      <c r="C93" s="15" t="s">
        <v>222</v>
      </c>
      <c r="I93" s="19"/>
    </row>
    <row r="94" spans="1:9" x14ac:dyDescent="0.2">
      <c r="B94" s="14"/>
      <c r="C94" s="15" t="s">
        <v>223</v>
      </c>
      <c r="I94" s="19"/>
    </row>
    <row r="95" spans="1:9" x14ac:dyDescent="0.2">
      <c r="B95" s="14"/>
      <c r="C95" s="15" t="s">
        <v>224</v>
      </c>
      <c r="I95" s="19"/>
    </row>
    <row r="96" spans="1:9" x14ac:dyDescent="0.2">
      <c r="B96" s="14"/>
      <c r="C96" s="15" t="s">
        <v>225</v>
      </c>
      <c r="I96" s="19"/>
    </row>
    <row r="97" spans="1:9" x14ac:dyDescent="0.2">
      <c r="B97" s="14"/>
      <c r="C97" s="15" t="s">
        <v>226</v>
      </c>
      <c r="I97" s="19"/>
    </row>
    <row r="98" spans="1:9" x14ac:dyDescent="0.2">
      <c r="B98" s="14"/>
      <c r="C98" s="15" t="s">
        <v>227</v>
      </c>
      <c r="I98" s="19"/>
    </row>
    <row r="99" spans="1:9" x14ac:dyDescent="0.2">
      <c r="B99" s="14"/>
      <c r="C99" s="59" t="s">
        <v>228</v>
      </c>
      <c r="I99" s="19"/>
    </row>
    <row r="100" spans="1:9" x14ac:dyDescent="0.2">
      <c r="B100" s="14"/>
      <c r="C100" s="59"/>
      <c r="I100" s="19"/>
    </row>
    <row r="101" spans="1:9" x14ac:dyDescent="0.2">
      <c r="B101" s="14"/>
      <c r="C101" s="59"/>
      <c r="I101" s="19"/>
    </row>
    <row r="102" spans="1:9" x14ac:dyDescent="0.2">
      <c r="B102" s="16" t="s">
        <v>230</v>
      </c>
      <c r="C102" s="15" t="s">
        <v>217</v>
      </c>
      <c r="I102" s="19"/>
    </row>
    <row r="103" spans="1:9" x14ac:dyDescent="0.2">
      <c r="B103" s="14"/>
      <c r="C103" s="15" t="s">
        <v>222</v>
      </c>
      <c r="I103" s="19"/>
    </row>
    <row r="104" spans="1:9" x14ac:dyDescent="0.2">
      <c r="B104" s="14"/>
      <c r="C104" s="15" t="s">
        <v>223</v>
      </c>
      <c r="I104" s="19"/>
    </row>
    <row r="105" spans="1:9" x14ac:dyDescent="0.2">
      <c r="B105" s="14"/>
      <c r="C105" s="15" t="s">
        <v>224</v>
      </c>
      <c r="I105" s="19"/>
    </row>
    <row r="106" spans="1:9" x14ac:dyDescent="0.2">
      <c r="B106" s="14"/>
      <c r="C106" s="15" t="s">
        <v>225</v>
      </c>
      <c r="I106" s="19"/>
    </row>
    <row r="107" spans="1:9" x14ac:dyDescent="0.2">
      <c r="B107" s="14"/>
      <c r="C107" s="15" t="s">
        <v>226</v>
      </c>
      <c r="I107" s="19"/>
    </row>
    <row r="108" spans="1:9" x14ac:dyDescent="0.2">
      <c r="B108" s="14"/>
      <c r="C108" s="15" t="s">
        <v>227</v>
      </c>
      <c r="I108" s="19"/>
    </row>
    <row r="109" spans="1:9" x14ac:dyDescent="0.2">
      <c r="B109" s="14"/>
      <c r="C109" s="59" t="s">
        <v>228</v>
      </c>
      <c r="I109" s="19"/>
    </row>
    <row r="110" spans="1:9" x14ac:dyDescent="0.2">
      <c r="B110" s="14"/>
      <c r="I110" s="19"/>
    </row>
    <row r="111" spans="1:9" x14ac:dyDescent="0.2">
      <c r="B111" s="14"/>
      <c r="I111" s="19"/>
    </row>
    <row r="112" spans="1:9" s="14" customFormat="1" x14ac:dyDescent="0.2">
      <c r="A112" s="1"/>
      <c r="B112" s="17" t="s">
        <v>284</v>
      </c>
      <c r="E112" s="55"/>
      <c r="G112" s="57"/>
      <c r="H112" s="81"/>
      <c r="I112" s="18"/>
    </row>
    <row r="113" spans="1:9" x14ac:dyDescent="0.2">
      <c r="B113" s="16" t="s">
        <v>285</v>
      </c>
      <c r="I113" s="19"/>
    </row>
    <row r="114" spans="1:9" x14ac:dyDescent="0.2">
      <c r="B114" s="14"/>
      <c r="I114" s="19"/>
    </row>
    <row r="115" spans="1:9" x14ac:dyDescent="0.2">
      <c r="B115" s="14"/>
      <c r="I115" s="19"/>
    </row>
    <row r="116" spans="1:9" x14ac:dyDescent="0.2">
      <c r="B116" s="14"/>
      <c r="I116" s="19"/>
    </row>
    <row r="117" spans="1:9" x14ac:dyDescent="0.2">
      <c r="B117" s="14"/>
      <c r="I117" s="19"/>
    </row>
    <row r="118" spans="1:9" x14ac:dyDescent="0.2">
      <c r="B118" s="16" t="s">
        <v>228</v>
      </c>
      <c r="D118" s="1" t="s">
        <v>280</v>
      </c>
      <c r="E118" s="2" t="s">
        <v>267</v>
      </c>
      <c r="I118" s="19"/>
    </row>
    <row r="119" spans="1:9" x14ac:dyDescent="0.2">
      <c r="B119" s="14"/>
      <c r="D119" s="1" t="s">
        <v>281</v>
      </c>
      <c r="E119" s="2" t="s">
        <v>282</v>
      </c>
      <c r="I119" s="19"/>
    </row>
    <row r="120" spans="1:9" x14ac:dyDescent="0.2">
      <c r="B120" s="14"/>
      <c r="D120" s="1" t="s">
        <v>252</v>
      </c>
      <c r="I120" s="19"/>
    </row>
    <row r="121" spans="1:9" x14ac:dyDescent="0.2">
      <c r="B121" s="14"/>
      <c r="I121" s="19"/>
    </row>
    <row r="122" spans="1:9" s="14" customFormat="1" x14ac:dyDescent="0.2">
      <c r="A122" s="1"/>
      <c r="B122" s="17" t="s">
        <v>286</v>
      </c>
      <c r="E122" s="55"/>
      <c r="G122" s="57"/>
      <c r="H122" s="81"/>
      <c r="I122" s="18"/>
    </row>
    <row r="123" spans="1:9" x14ac:dyDescent="0.2">
      <c r="B123" s="14"/>
      <c r="I123" s="19"/>
    </row>
    <row r="124" spans="1:9" x14ac:dyDescent="0.2">
      <c r="B124" s="14"/>
      <c r="I124" s="19"/>
    </row>
    <row r="125" spans="1:9" x14ac:dyDescent="0.2">
      <c r="B125" s="14"/>
      <c r="I125" s="19"/>
    </row>
    <row r="126" spans="1:9" x14ac:dyDescent="0.2">
      <c r="B126" s="14"/>
      <c r="I126" s="19"/>
    </row>
    <row r="127" spans="1:9" x14ac:dyDescent="0.2">
      <c r="B127" s="14"/>
      <c r="I127" s="19"/>
    </row>
    <row r="128" spans="1:9" x14ac:dyDescent="0.2">
      <c r="B128" s="14"/>
      <c r="I128" s="19"/>
    </row>
    <row r="129" spans="1:9" s="14" customFormat="1" x14ac:dyDescent="0.2">
      <c r="A129" s="1"/>
      <c r="B129" s="17" t="s">
        <v>287</v>
      </c>
      <c r="E129" s="55"/>
      <c r="G129" s="57"/>
      <c r="H129" s="81"/>
      <c r="I129" s="18"/>
    </row>
    <row r="130" spans="1:9" x14ac:dyDescent="0.2">
      <c r="B130" s="14"/>
      <c r="I130" s="19"/>
    </row>
    <row r="131" spans="1:9" x14ac:dyDescent="0.2">
      <c r="B131" s="14"/>
      <c r="I131" s="19"/>
    </row>
    <row r="132" spans="1:9" x14ac:dyDescent="0.2">
      <c r="B132" s="14"/>
      <c r="I132" s="19"/>
    </row>
    <row r="133" spans="1:9" x14ac:dyDescent="0.2">
      <c r="B133" s="14"/>
      <c r="I133" s="19"/>
    </row>
    <row r="134" spans="1:9" x14ac:dyDescent="0.2">
      <c r="B134" s="14"/>
      <c r="I134" s="19"/>
    </row>
    <row r="135" spans="1:9" x14ac:dyDescent="0.2">
      <c r="B135" s="14"/>
      <c r="I135" s="19"/>
    </row>
    <row r="136" spans="1:9" x14ac:dyDescent="0.2">
      <c r="B136" s="14"/>
      <c r="I136" s="19"/>
    </row>
  </sheetData>
  <dataValidations count="2">
    <dataValidation type="whole" allowBlank="1" showInputMessage="1" showErrorMessage="1" error="Should be value between 1 and 5. " prompt="1 = Primary data from experiments_x000a_2 = Secondary data from literature for similar technology, time &amp; region_x000a_3 = Secondary data from literature for different technology, time &amp; region _x000a_4 = Expert estimate _x000a_5 = Own assumption_x000a_6 = Default value from template" sqref="H27 H38 H91 H112 H122 H129" xr:uid="{A41ED813-4723-475B-A010-58F0501FC589}">
      <formula1>1</formula1>
      <formula2>6</formula2>
    </dataValidation>
    <dataValidation type="whole" allowBlank="1" showInputMessage="1" showErrorMessage="1" error="Should be value between 1 and 6. " prompt="1 = Primary data from experiments_x000a_2 = Secondary data for similar technology, time &amp; region_x000a_3 = Secondary data for different technology, time &amp; region _x000a_4 = Expert estimate _x000a_5 = Own assumption_x000a_6 = Default value from template" sqref="H10:H26 H28:H37 H39:H90 H92:H111 H113:H121 H123:H128 H130:H136" xr:uid="{D77E3CC6-DBA7-4C62-81E9-A6121BFBCC62}">
      <formula1>1</formula1>
      <formula2>6</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1B77-0448-4786-BFB3-CE7914296DBB}">
  <sheetPr codeName="Sheet8">
    <tabColor theme="5" tint="0.79998168889431442"/>
  </sheetPr>
  <dimension ref="A1:L145"/>
  <sheetViews>
    <sheetView zoomScaleNormal="100" workbookViewId="0">
      <pane xSplit="1" topLeftCell="B1" activePane="topRight" state="frozen"/>
      <selection pane="topRight"/>
    </sheetView>
  </sheetViews>
  <sheetFormatPr defaultColWidth="9.33203125" defaultRowHeight="11.4" x14ac:dyDescent="0.2"/>
  <cols>
    <col min="1" max="2" width="30.6640625" style="1" customWidth="1"/>
    <col min="3" max="3" width="15.6640625" style="1" customWidth="1"/>
    <col min="4" max="4" width="44.6640625" style="1" customWidth="1"/>
    <col min="5" max="5" width="19.6640625" style="2" customWidth="1"/>
    <col min="6" max="6" width="20.6640625" style="1" customWidth="1"/>
    <col min="7" max="7" width="15.6640625" style="67" customWidth="1"/>
    <col min="8" max="8" width="13.6640625" style="67" customWidth="1"/>
    <col min="9" max="14" width="20.6640625" style="1" customWidth="1"/>
    <col min="15" max="16384" width="9.33203125" style="1"/>
  </cols>
  <sheetData>
    <row r="1" spans="1:12" ht="144" customHeight="1" x14ac:dyDescent="0.2"/>
    <row r="4" spans="1:12" ht="19.8" x14ac:dyDescent="0.3">
      <c r="B4" s="3" t="s">
        <v>288</v>
      </c>
    </row>
    <row r="8" spans="1:12" s="119" customFormat="1" x14ac:dyDescent="0.3">
      <c r="A8" s="102"/>
      <c r="B8" s="115"/>
      <c r="C8" s="116"/>
      <c r="D8" s="120" t="s">
        <v>156</v>
      </c>
      <c r="E8" s="115" t="s">
        <v>157</v>
      </c>
      <c r="F8" s="115" t="s">
        <v>212</v>
      </c>
      <c r="G8" s="117" t="s">
        <v>213</v>
      </c>
      <c r="H8" s="117" t="s">
        <v>214</v>
      </c>
      <c r="I8" s="118" t="str">
        <f>'Pathway definition and results'!E13</f>
        <v xml:space="preserve">1. Pathway 1 </v>
      </c>
      <c r="J8" s="115" t="str">
        <f>'Pathway definition and results'!F13</f>
        <v>2. Pathway 2</v>
      </c>
      <c r="K8" s="115" t="str">
        <f>'Pathway definition and results'!G13</f>
        <v>3. Pathway 3</v>
      </c>
      <c r="L8" s="115" t="str">
        <f>'Pathway definition and results'!H13</f>
        <v xml:space="preserve">4. Pathway 4 </v>
      </c>
    </row>
    <row r="9" spans="1:12" s="9" customFormat="1" x14ac:dyDescent="0.2">
      <c r="A9" s="1"/>
      <c r="B9" s="8" t="s">
        <v>289</v>
      </c>
      <c r="C9" s="22"/>
      <c r="E9" s="54"/>
      <c r="G9" s="68"/>
      <c r="H9" s="68"/>
      <c r="I9" s="20"/>
    </row>
    <row r="10" spans="1:12" x14ac:dyDescent="0.2">
      <c r="B10" s="9"/>
      <c r="C10" s="15"/>
      <c r="D10" s="23" t="s">
        <v>290</v>
      </c>
      <c r="E10" s="2" t="s">
        <v>177</v>
      </c>
      <c r="F10" s="155">
        <v>0.25</v>
      </c>
      <c r="G10" s="67" t="s">
        <v>291</v>
      </c>
      <c r="H10" s="137">
        <v>6</v>
      </c>
      <c r="I10" s="162"/>
      <c r="J10" s="163"/>
      <c r="K10" s="163"/>
      <c r="L10" s="163"/>
    </row>
    <row r="11" spans="1:12" x14ac:dyDescent="0.2">
      <c r="B11" s="9"/>
      <c r="C11" s="15"/>
      <c r="D11" s="23" t="s">
        <v>292</v>
      </c>
      <c r="E11" s="2" t="s">
        <v>177</v>
      </c>
      <c r="F11" s="156">
        <f>(F10-F15)/(1+F15)</f>
        <v>0.22549019607843138</v>
      </c>
      <c r="H11" s="137"/>
      <c r="I11" s="162"/>
      <c r="J11" s="163"/>
      <c r="K11" s="163"/>
      <c r="L11" s="163"/>
    </row>
    <row r="12" spans="1:12" x14ac:dyDescent="0.2">
      <c r="B12" s="9"/>
      <c r="C12" s="15"/>
      <c r="D12" s="23" t="s">
        <v>293</v>
      </c>
      <c r="E12" s="2" t="s">
        <v>177</v>
      </c>
      <c r="F12" s="155">
        <v>0.2</v>
      </c>
      <c r="H12" s="137">
        <v>6</v>
      </c>
      <c r="I12" s="162"/>
      <c r="J12" s="163"/>
      <c r="K12" s="163"/>
      <c r="L12" s="163"/>
    </row>
    <row r="13" spans="1:12" x14ac:dyDescent="0.2">
      <c r="B13" s="9"/>
      <c r="C13" s="15"/>
      <c r="D13" s="23" t="s">
        <v>294</v>
      </c>
      <c r="E13" s="2" t="s">
        <v>177</v>
      </c>
      <c r="F13" s="157">
        <f>1-F12</f>
        <v>0.8</v>
      </c>
      <c r="H13" s="137"/>
      <c r="I13" s="162"/>
      <c r="J13" s="163"/>
      <c r="K13" s="163"/>
      <c r="L13" s="163"/>
    </row>
    <row r="14" spans="1:12" x14ac:dyDescent="0.2">
      <c r="B14" s="9"/>
      <c r="C14" s="15"/>
      <c r="D14" s="23" t="s">
        <v>295</v>
      </c>
      <c r="E14" s="2" t="s">
        <v>177</v>
      </c>
      <c r="F14" s="155">
        <v>0.05</v>
      </c>
      <c r="H14" s="137">
        <v>6</v>
      </c>
      <c r="I14" s="162"/>
      <c r="J14" s="163"/>
      <c r="K14" s="163"/>
      <c r="L14" s="163"/>
    </row>
    <row r="15" spans="1:12" x14ac:dyDescent="0.2">
      <c r="B15" s="9"/>
      <c r="C15" s="15"/>
      <c r="D15" s="23" t="s">
        <v>296</v>
      </c>
      <c r="E15" s="2" t="s">
        <v>177</v>
      </c>
      <c r="F15" s="155">
        <v>0.02</v>
      </c>
      <c r="H15" s="137">
        <v>6</v>
      </c>
      <c r="I15" s="162"/>
      <c r="J15" s="163"/>
      <c r="K15" s="163"/>
      <c r="L15" s="163"/>
    </row>
    <row r="16" spans="1:12" x14ac:dyDescent="0.2">
      <c r="B16" s="9"/>
      <c r="C16" s="15"/>
      <c r="D16" s="23" t="s">
        <v>297</v>
      </c>
      <c r="E16" s="2" t="s">
        <v>177</v>
      </c>
      <c r="F16" s="156">
        <f>(F11*F12)+(F13*(1-F17)*F14)</f>
        <v>7.509803921568628E-2</v>
      </c>
      <c r="H16" s="137"/>
      <c r="I16" s="162"/>
      <c r="J16" s="163"/>
      <c r="K16" s="163"/>
      <c r="L16" s="163"/>
    </row>
    <row r="17" spans="1:12" x14ac:dyDescent="0.2">
      <c r="B17" s="9"/>
      <c r="C17" s="15"/>
      <c r="D17" s="23" t="s">
        <v>298</v>
      </c>
      <c r="E17" s="2" t="s">
        <v>177</v>
      </c>
      <c r="F17" s="155">
        <v>0.25</v>
      </c>
      <c r="H17" s="137">
        <v>6</v>
      </c>
      <c r="I17" s="162"/>
      <c r="J17" s="163"/>
      <c r="K17" s="163"/>
      <c r="L17" s="163"/>
    </row>
    <row r="18" spans="1:12" x14ac:dyDescent="0.2">
      <c r="B18" s="9"/>
      <c r="C18" s="15"/>
      <c r="D18" s="23" t="s">
        <v>299</v>
      </c>
      <c r="E18" s="2" t="s">
        <v>191</v>
      </c>
      <c r="F18" s="154">
        <v>15</v>
      </c>
      <c r="G18" s="67" t="s">
        <v>300</v>
      </c>
      <c r="H18" s="137">
        <v>6</v>
      </c>
      <c r="I18" s="164"/>
      <c r="J18" s="161"/>
      <c r="K18" s="161"/>
      <c r="L18" s="161"/>
    </row>
    <row r="19" spans="1:12" s="9" customFormat="1" x14ac:dyDescent="0.2">
      <c r="A19" s="1"/>
      <c r="B19" s="8" t="s">
        <v>301</v>
      </c>
      <c r="C19" s="22"/>
      <c r="E19" s="54"/>
      <c r="G19" s="68"/>
      <c r="H19" s="68"/>
      <c r="I19" s="20"/>
    </row>
    <row r="20" spans="1:12" x14ac:dyDescent="0.2">
      <c r="B20" s="9"/>
      <c r="C20" s="15" t="s">
        <v>302</v>
      </c>
      <c r="D20" s="23" t="s">
        <v>303</v>
      </c>
      <c r="E20" s="2" t="s">
        <v>267</v>
      </c>
      <c r="F20" s="1">
        <v>4</v>
      </c>
      <c r="G20" s="67" t="s">
        <v>267</v>
      </c>
      <c r="H20" s="137">
        <v>6</v>
      </c>
      <c r="I20" s="134"/>
    </row>
    <row r="21" spans="1:12" x14ac:dyDescent="0.2">
      <c r="B21" s="9"/>
      <c r="C21" s="15"/>
      <c r="D21" s="23" t="s">
        <v>304</v>
      </c>
      <c r="E21" s="2" t="s">
        <v>267</v>
      </c>
      <c r="F21" s="1">
        <v>4.3</v>
      </c>
      <c r="G21" s="67" t="s">
        <v>267</v>
      </c>
      <c r="H21" s="137">
        <v>6</v>
      </c>
      <c r="I21" s="134"/>
    </row>
    <row r="22" spans="1:12" x14ac:dyDescent="0.2">
      <c r="B22" s="9"/>
      <c r="C22" s="15"/>
      <c r="D22" s="23" t="s">
        <v>305</v>
      </c>
      <c r="E22" s="2" t="s">
        <v>267</v>
      </c>
      <c r="F22" s="1">
        <v>5</v>
      </c>
      <c r="G22" s="67" t="s">
        <v>267</v>
      </c>
      <c r="H22" s="137">
        <v>6</v>
      </c>
      <c r="I22" s="134"/>
    </row>
    <row r="23" spans="1:12" x14ac:dyDescent="0.2">
      <c r="B23" s="9"/>
      <c r="C23" s="15"/>
      <c r="D23" s="23"/>
      <c r="H23" s="137"/>
      <c r="I23" s="134"/>
    </row>
    <row r="24" spans="1:12" x14ac:dyDescent="0.2">
      <c r="B24" s="9"/>
      <c r="C24" s="15" t="s">
        <v>306</v>
      </c>
      <c r="D24" s="136" t="s">
        <v>307</v>
      </c>
      <c r="E24" s="135" t="s">
        <v>308</v>
      </c>
      <c r="F24" s="66">
        <v>0.39</v>
      </c>
      <c r="G24" s="67" t="s">
        <v>309</v>
      </c>
      <c r="H24" s="137">
        <v>6</v>
      </c>
      <c r="I24" s="134"/>
    </row>
    <row r="25" spans="1:12" x14ac:dyDescent="0.2">
      <c r="B25" s="9"/>
      <c r="C25" s="15"/>
      <c r="D25" s="136" t="s">
        <v>310</v>
      </c>
      <c r="E25" s="135" t="s">
        <v>308</v>
      </c>
      <c r="F25" s="66">
        <v>0.26</v>
      </c>
      <c r="G25" s="67" t="s">
        <v>311</v>
      </c>
      <c r="H25" s="137">
        <v>6</v>
      </c>
      <c r="I25" s="134"/>
    </row>
    <row r="26" spans="1:12" x14ac:dyDescent="0.2">
      <c r="B26" s="9"/>
      <c r="C26" s="15"/>
      <c r="D26" s="136" t="s">
        <v>312</v>
      </c>
      <c r="E26" s="135" t="s">
        <v>308</v>
      </c>
      <c r="F26" s="66">
        <v>0.31</v>
      </c>
      <c r="G26" s="67" t="s">
        <v>313</v>
      </c>
      <c r="H26" s="137">
        <v>6</v>
      </c>
      <c r="I26" s="134"/>
    </row>
    <row r="27" spans="1:12" x14ac:dyDescent="0.2">
      <c r="B27" s="9"/>
      <c r="C27" s="15"/>
      <c r="D27" s="136" t="s">
        <v>314</v>
      </c>
      <c r="E27" s="135" t="s">
        <v>308</v>
      </c>
      <c r="F27" s="66">
        <v>0.1</v>
      </c>
      <c r="G27" s="67" t="s">
        <v>315</v>
      </c>
      <c r="H27" s="137">
        <v>6</v>
      </c>
      <c r="I27" s="134"/>
    </row>
    <row r="28" spans="1:12" x14ac:dyDescent="0.2">
      <c r="B28" s="9"/>
      <c r="C28" s="15"/>
      <c r="D28" s="136" t="s">
        <v>316</v>
      </c>
      <c r="E28" s="135" t="s">
        <v>308</v>
      </c>
      <c r="F28" s="66">
        <v>0.28999999999999998</v>
      </c>
      <c r="G28" s="67" t="s">
        <v>317</v>
      </c>
      <c r="H28" s="137">
        <v>6</v>
      </c>
      <c r="I28" s="134"/>
    </row>
    <row r="29" spans="1:12" x14ac:dyDescent="0.2">
      <c r="B29" s="9"/>
      <c r="C29" s="15"/>
      <c r="D29" s="136" t="s">
        <v>318</v>
      </c>
      <c r="E29" s="135" t="s">
        <v>308</v>
      </c>
      <c r="F29" s="66">
        <v>0.12</v>
      </c>
      <c r="G29" s="67" t="s">
        <v>319</v>
      </c>
      <c r="H29" s="137">
        <v>6</v>
      </c>
      <c r="I29" s="134"/>
    </row>
    <row r="30" spans="1:12" x14ac:dyDescent="0.2">
      <c r="B30" s="9"/>
      <c r="C30" s="15"/>
      <c r="D30" s="136" t="s">
        <v>320</v>
      </c>
      <c r="E30" s="135" t="s">
        <v>308</v>
      </c>
      <c r="F30" s="66">
        <v>0.55000000000000004</v>
      </c>
      <c r="G30" s="67" t="s">
        <v>321</v>
      </c>
      <c r="H30" s="137">
        <v>6</v>
      </c>
      <c r="I30" s="134"/>
    </row>
    <row r="31" spans="1:12" x14ac:dyDescent="0.2">
      <c r="B31" s="9"/>
      <c r="C31" s="15"/>
      <c r="D31" s="136" t="s">
        <v>322</v>
      </c>
      <c r="E31" s="135" t="s">
        <v>308</v>
      </c>
      <c r="F31" s="66">
        <v>0.32</v>
      </c>
      <c r="G31" s="67" t="s">
        <v>323</v>
      </c>
      <c r="H31" s="137">
        <v>6</v>
      </c>
      <c r="I31" s="134"/>
    </row>
    <row r="32" spans="1:12" x14ac:dyDescent="0.2">
      <c r="B32" s="9"/>
      <c r="C32" s="15"/>
      <c r="D32" s="136" t="s">
        <v>324</v>
      </c>
      <c r="E32" s="135" t="s">
        <v>308</v>
      </c>
      <c r="F32" s="66">
        <v>0.34</v>
      </c>
      <c r="G32" s="67" t="s">
        <v>325</v>
      </c>
      <c r="H32" s="137">
        <v>6</v>
      </c>
      <c r="I32" s="134"/>
    </row>
    <row r="33" spans="1:9" x14ac:dyDescent="0.2">
      <c r="B33" s="9"/>
      <c r="C33" s="15"/>
      <c r="D33" s="136" t="s">
        <v>326</v>
      </c>
      <c r="E33" s="135" t="s">
        <v>308</v>
      </c>
      <c r="F33" s="66">
        <v>0.04</v>
      </c>
      <c r="G33" s="67" t="s">
        <v>267</v>
      </c>
      <c r="H33" s="137">
        <v>6</v>
      </c>
      <c r="I33" s="134"/>
    </row>
    <row r="34" spans="1:9" x14ac:dyDescent="0.2">
      <c r="B34" s="9"/>
      <c r="C34" s="15"/>
      <c r="D34" s="136" t="s">
        <v>327</v>
      </c>
      <c r="E34" s="135" t="s">
        <v>308</v>
      </c>
      <c r="F34" s="66">
        <v>0.19</v>
      </c>
      <c r="G34" s="67" t="s">
        <v>328</v>
      </c>
      <c r="H34" s="137">
        <v>6</v>
      </c>
      <c r="I34" s="134"/>
    </row>
    <row r="35" spans="1:9" x14ac:dyDescent="0.2">
      <c r="B35" s="9"/>
      <c r="C35" s="15"/>
      <c r="D35" s="136" t="s">
        <v>329</v>
      </c>
      <c r="E35" s="135" t="s">
        <v>308</v>
      </c>
      <c r="F35" s="66">
        <v>0.37</v>
      </c>
      <c r="G35" s="67" t="s">
        <v>330</v>
      </c>
      <c r="H35" s="137">
        <v>6</v>
      </c>
      <c r="I35" s="134"/>
    </row>
    <row r="36" spans="1:9" x14ac:dyDescent="0.2">
      <c r="B36" s="9"/>
      <c r="C36" s="15"/>
      <c r="D36" s="136" t="s">
        <v>331</v>
      </c>
      <c r="E36" s="135" t="s">
        <v>308</v>
      </c>
      <c r="F36" s="66">
        <v>0.75</v>
      </c>
      <c r="G36" s="67" t="s">
        <v>332</v>
      </c>
      <c r="H36" s="137">
        <v>6</v>
      </c>
      <c r="I36" s="134"/>
    </row>
    <row r="37" spans="1:9" x14ac:dyDescent="0.2">
      <c r="B37" s="9"/>
      <c r="C37" s="15"/>
      <c r="D37" s="136" t="s">
        <v>333</v>
      </c>
      <c r="E37" s="135" t="s">
        <v>308</v>
      </c>
      <c r="F37" s="156">
        <f>SUM(F24:F36)</f>
        <v>4.03</v>
      </c>
      <c r="H37" s="137"/>
      <c r="I37" s="134"/>
    </row>
    <row r="38" spans="1:9" x14ac:dyDescent="0.2">
      <c r="B38" s="9"/>
      <c r="C38" s="15"/>
      <c r="D38" s="23"/>
      <c r="H38" s="137"/>
      <c r="I38" s="134"/>
    </row>
    <row r="39" spans="1:9" s="9" customFormat="1" x14ac:dyDescent="0.2">
      <c r="A39" s="1"/>
      <c r="B39" s="8" t="s">
        <v>334</v>
      </c>
      <c r="C39" s="22"/>
      <c r="E39" s="54"/>
      <c r="G39" s="68"/>
      <c r="H39" s="68"/>
      <c r="I39" s="20"/>
    </row>
    <row r="40" spans="1:9" x14ac:dyDescent="0.2">
      <c r="B40" s="9"/>
      <c r="C40" s="15"/>
      <c r="D40" s="1" t="s">
        <v>335</v>
      </c>
      <c r="E40" s="2" t="s">
        <v>336</v>
      </c>
      <c r="F40" s="1">
        <v>41.6</v>
      </c>
      <c r="H40" s="137">
        <v>6</v>
      </c>
      <c r="I40" s="19"/>
    </row>
    <row r="41" spans="1:9" ht="13.8" x14ac:dyDescent="0.3">
      <c r="B41" s="9"/>
      <c r="C41" s="15"/>
      <c r="D41" s="1" t="s">
        <v>337</v>
      </c>
      <c r="E41" s="2" t="s">
        <v>338</v>
      </c>
      <c r="F41" s="66">
        <v>0.01</v>
      </c>
      <c r="H41" s="137">
        <v>6</v>
      </c>
      <c r="I41" s="104">
        <v>0.01</v>
      </c>
    </row>
    <row r="42" spans="1:9" ht="13.8" x14ac:dyDescent="0.3">
      <c r="B42" s="9"/>
      <c r="C42" s="15"/>
      <c r="D42" s="1" t="s">
        <v>339</v>
      </c>
      <c r="E42" s="2" t="s">
        <v>338</v>
      </c>
      <c r="F42" s="66">
        <v>0.05</v>
      </c>
      <c r="H42" s="137">
        <v>6</v>
      </c>
      <c r="I42" s="104">
        <v>0.05</v>
      </c>
    </row>
    <row r="43" spans="1:9" ht="22.8" x14ac:dyDescent="0.2">
      <c r="B43" s="9"/>
      <c r="C43" s="15"/>
      <c r="D43" s="61" t="s">
        <v>340</v>
      </c>
      <c r="E43" s="102" t="s">
        <v>341</v>
      </c>
      <c r="F43" s="103">
        <v>0.6</v>
      </c>
      <c r="H43" s="137">
        <v>6</v>
      </c>
      <c r="I43" s="104">
        <v>0.6</v>
      </c>
    </row>
    <row r="44" spans="1:9" x14ac:dyDescent="0.2">
      <c r="B44" s="9"/>
      <c r="C44" s="15"/>
      <c r="D44" s="61" t="s">
        <v>342</v>
      </c>
      <c r="E44" s="102" t="s">
        <v>343</v>
      </c>
      <c r="F44" s="103">
        <v>0.15</v>
      </c>
      <c r="H44" s="137">
        <v>6</v>
      </c>
      <c r="I44" s="104">
        <v>0.15</v>
      </c>
    </row>
    <row r="45" spans="1:9" x14ac:dyDescent="0.2">
      <c r="B45" s="9"/>
      <c r="C45" s="15"/>
      <c r="D45" s="61" t="s">
        <v>344</v>
      </c>
      <c r="E45" s="102" t="s">
        <v>343</v>
      </c>
      <c r="F45" s="103">
        <v>0.15</v>
      </c>
      <c r="H45" s="137">
        <v>6</v>
      </c>
      <c r="I45" s="104">
        <v>0.15</v>
      </c>
    </row>
    <row r="46" spans="1:9" x14ac:dyDescent="0.2">
      <c r="B46" s="9"/>
      <c r="C46" s="15"/>
      <c r="D46" s="61"/>
      <c r="E46" s="102"/>
      <c r="F46" s="103"/>
      <c r="H46" s="137"/>
      <c r="I46" s="19"/>
    </row>
    <row r="47" spans="1:9" x14ac:dyDescent="0.2">
      <c r="B47" s="91" t="s">
        <v>223</v>
      </c>
      <c r="C47" s="15"/>
      <c r="D47" s="1" t="s">
        <v>345</v>
      </c>
      <c r="E47" s="2" t="s">
        <v>346</v>
      </c>
      <c r="F47" s="1">
        <v>140</v>
      </c>
      <c r="G47" s="67" t="s">
        <v>347</v>
      </c>
      <c r="H47" s="137">
        <v>6</v>
      </c>
      <c r="I47" s="19"/>
    </row>
    <row r="48" spans="1:9" x14ac:dyDescent="0.2">
      <c r="B48" s="9"/>
      <c r="C48" s="15"/>
      <c r="D48" s="1" t="s">
        <v>348</v>
      </c>
      <c r="E48" s="2" t="s">
        <v>177</v>
      </c>
      <c r="F48" s="99"/>
      <c r="H48" s="137"/>
      <c r="I48" s="19"/>
    </row>
    <row r="49" spans="2:9" x14ac:dyDescent="0.2">
      <c r="B49" s="9"/>
      <c r="C49" s="15"/>
      <c r="D49" s="1" t="s">
        <v>349</v>
      </c>
      <c r="E49" s="2" t="s">
        <v>346</v>
      </c>
      <c r="F49" s="1">
        <v>80</v>
      </c>
      <c r="H49" s="137">
        <v>6</v>
      </c>
      <c r="I49" s="19"/>
    </row>
    <row r="50" spans="2:9" x14ac:dyDescent="0.2">
      <c r="B50" s="9"/>
      <c r="C50" s="15"/>
      <c r="D50" s="1" t="s">
        <v>350</v>
      </c>
      <c r="E50" s="2" t="s">
        <v>177</v>
      </c>
      <c r="F50" s="99"/>
      <c r="H50" s="137"/>
      <c r="I50" s="19"/>
    </row>
    <row r="51" spans="2:9" x14ac:dyDescent="0.2">
      <c r="B51" s="9"/>
      <c r="C51" s="15"/>
      <c r="D51" s="1" t="s">
        <v>351</v>
      </c>
      <c r="E51" s="2" t="s">
        <v>346</v>
      </c>
      <c r="F51" s="1">
        <v>50</v>
      </c>
      <c r="H51" s="137">
        <v>6</v>
      </c>
      <c r="I51" s="19"/>
    </row>
    <row r="52" spans="2:9" x14ac:dyDescent="0.2">
      <c r="B52" s="9"/>
      <c r="C52" s="15"/>
      <c r="D52" s="1" t="s">
        <v>352</v>
      </c>
      <c r="E52" s="2" t="s">
        <v>346</v>
      </c>
      <c r="H52" s="137">
        <v>6</v>
      </c>
      <c r="I52" s="19"/>
    </row>
    <row r="53" spans="2:9" x14ac:dyDescent="0.2">
      <c r="B53" s="9"/>
      <c r="C53" s="15"/>
      <c r="D53" s="1" t="s">
        <v>353</v>
      </c>
      <c r="E53" s="2" t="s">
        <v>346</v>
      </c>
      <c r="F53" s="1">
        <v>42</v>
      </c>
      <c r="G53" s="67" t="s">
        <v>354</v>
      </c>
      <c r="H53" s="137">
        <v>6</v>
      </c>
      <c r="I53" s="19"/>
    </row>
    <row r="54" spans="2:9" x14ac:dyDescent="0.2">
      <c r="B54" s="9"/>
      <c r="C54" s="15"/>
      <c r="D54" s="1" t="s">
        <v>355</v>
      </c>
      <c r="E54" s="2" t="s">
        <v>356</v>
      </c>
      <c r="F54" s="1">
        <v>34</v>
      </c>
      <c r="G54" s="67" t="s">
        <v>357</v>
      </c>
      <c r="H54" s="137">
        <v>6</v>
      </c>
      <c r="I54" s="19"/>
    </row>
    <row r="55" spans="2:9" x14ac:dyDescent="0.2">
      <c r="B55" s="9"/>
      <c r="C55" s="15"/>
      <c r="H55" s="137"/>
      <c r="I55" s="19"/>
    </row>
    <row r="56" spans="2:9" x14ac:dyDescent="0.2">
      <c r="B56" s="91" t="s">
        <v>169</v>
      </c>
      <c r="C56" s="15"/>
      <c r="D56" s="1" t="s">
        <v>358</v>
      </c>
      <c r="E56" s="2" t="s">
        <v>356</v>
      </c>
      <c r="F56" s="158">
        <f>VLOOKUP(D56,Table_solvent[],3,FALSE)</f>
        <v>0</v>
      </c>
      <c r="H56" s="137">
        <v>6</v>
      </c>
      <c r="I56" s="19"/>
    </row>
    <row r="57" spans="2:9" x14ac:dyDescent="0.2">
      <c r="B57" s="9"/>
      <c r="C57" s="15"/>
      <c r="D57" s="1" t="s">
        <v>358</v>
      </c>
      <c r="E57" s="2" t="s">
        <v>356</v>
      </c>
      <c r="F57" s="158">
        <f>VLOOKUP(D57,Table_solvent[],3,FALSE)</f>
        <v>0</v>
      </c>
      <c r="H57" s="137">
        <v>6</v>
      </c>
      <c r="I57" s="19"/>
    </row>
    <row r="58" spans="2:9" x14ac:dyDescent="0.2">
      <c r="B58" s="9"/>
      <c r="C58" s="15"/>
      <c r="D58" s="1" t="s">
        <v>358</v>
      </c>
      <c r="E58" s="2" t="s">
        <v>356</v>
      </c>
      <c r="F58" s="158">
        <f>VLOOKUP(D58,Table_solvent[],3,FALSE)</f>
        <v>0</v>
      </c>
      <c r="H58" s="137">
        <v>6</v>
      </c>
      <c r="I58" s="19"/>
    </row>
    <row r="59" spans="2:9" x14ac:dyDescent="0.2">
      <c r="B59" s="9"/>
      <c r="C59" s="15"/>
      <c r="D59" s="1" t="s">
        <v>359</v>
      </c>
      <c r="E59" s="2" t="s">
        <v>356</v>
      </c>
      <c r="F59" s="146"/>
      <c r="H59" s="137"/>
      <c r="I59" s="19"/>
    </row>
    <row r="60" spans="2:9" x14ac:dyDescent="0.2">
      <c r="B60" s="9"/>
      <c r="C60" s="15"/>
      <c r="H60" s="137"/>
      <c r="I60" s="19"/>
    </row>
    <row r="61" spans="2:9" x14ac:dyDescent="0.2">
      <c r="B61" s="91" t="s">
        <v>360</v>
      </c>
      <c r="C61" s="15"/>
      <c r="D61" s="1" t="s">
        <v>358</v>
      </c>
      <c r="E61" s="2" t="s">
        <v>356</v>
      </c>
      <c r="F61" s="158">
        <f>VLOOKUP(D61,Table_elements[],3,FALSE)</f>
        <v>0</v>
      </c>
      <c r="H61" s="137">
        <v>6</v>
      </c>
      <c r="I61" s="19"/>
    </row>
    <row r="62" spans="2:9" x14ac:dyDescent="0.2">
      <c r="B62" s="9"/>
      <c r="C62" s="15"/>
      <c r="D62" s="1" t="s">
        <v>358</v>
      </c>
      <c r="E62" s="2" t="s">
        <v>356</v>
      </c>
      <c r="F62" s="158">
        <f>VLOOKUP(D62,Table_elements[],3,FALSE)</f>
        <v>0</v>
      </c>
      <c r="H62" s="137">
        <v>6</v>
      </c>
      <c r="I62" s="19"/>
    </row>
    <row r="63" spans="2:9" x14ac:dyDescent="0.2">
      <c r="B63" s="9"/>
      <c r="C63" s="15"/>
      <c r="D63" s="1" t="s">
        <v>358</v>
      </c>
      <c r="E63" s="2" t="s">
        <v>356</v>
      </c>
      <c r="F63" s="158">
        <f>VLOOKUP(D63,Table_elements[],3,FALSE)</f>
        <v>0</v>
      </c>
      <c r="H63" s="137">
        <v>6</v>
      </c>
      <c r="I63" s="19"/>
    </row>
    <row r="64" spans="2:9" x14ac:dyDescent="0.2">
      <c r="B64" s="9"/>
      <c r="C64" s="15"/>
      <c r="D64" s="1" t="s">
        <v>361</v>
      </c>
      <c r="E64" s="2" t="s">
        <v>356</v>
      </c>
      <c r="F64" s="146"/>
      <c r="H64" s="137"/>
      <c r="I64" s="19"/>
    </row>
    <row r="65" spans="1:9" x14ac:dyDescent="0.2">
      <c r="B65" s="9"/>
      <c r="C65" s="15"/>
      <c r="H65" s="137"/>
      <c r="I65" s="19"/>
    </row>
    <row r="66" spans="1:9" x14ac:dyDescent="0.2">
      <c r="B66" s="91" t="s">
        <v>226</v>
      </c>
      <c r="C66" s="15"/>
      <c r="D66" s="1" t="s">
        <v>362</v>
      </c>
      <c r="E66" s="2" t="s">
        <v>356</v>
      </c>
      <c r="H66" s="137"/>
      <c r="I66" s="19"/>
    </row>
    <row r="67" spans="1:9" x14ac:dyDescent="0.2">
      <c r="B67" s="9"/>
      <c r="C67" s="15"/>
      <c r="D67" s="1" t="s">
        <v>363</v>
      </c>
      <c r="E67" s="2" t="s">
        <v>364</v>
      </c>
      <c r="F67" s="1">
        <v>1.5</v>
      </c>
      <c r="G67" s="67" t="s">
        <v>365</v>
      </c>
      <c r="H67" s="137">
        <v>6</v>
      </c>
      <c r="I67" s="19"/>
    </row>
    <row r="68" spans="1:9" x14ac:dyDescent="0.2">
      <c r="B68" s="91"/>
      <c r="C68" s="15"/>
      <c r="H68" s="137"/>
      <c r="I68" s="19"/>
    </row>
    <row r="69" spans="1:9" x14ac:dyDescent="0.2">
      <c r="B69" s="9"/>
      <c r="C69" s="15"/>
      <c r="H69" s="137"/>
      <c r="I69" s="19"/>
    </row>
    <row r="70" spans="1:9" s="9" customFormat="1" x14ac:dyDescent="0.2">
      <c r="A70" s="1"/>
      <c r="B70" s="8" t="s">
        <v>366</v>
      </c>
      <c r="C70" s="22"/>
      <c r="E70" s="54"/>
      <c r="G70" s="68"/>
      <c r="H70" s="138"/>
      <c r="I70" s="20"/>
    </row>
    <row r="71" spans="1:9" x14ac:dyDescent="0.2">
      <c r="B71" s="91" t="s">
        <v>367</v>
      </c>
      <c r="C71" s="15"/>
      <c r="D71" s="1" t="s">
        <v>368</v>
      </c>
      <c r="E71" s="2" t="s">
        <v>177</v>
      </c>
      <c r="F71" s="66">
        <v>0.05</v>
      </c>
      <c r="G71" s="67" t="s">
        <v>369</v>
      </c>
      <c r="H71" s="137">
        <v>6</v>
      </c>
      <c r="I71" s="19"/>
    </row>
    <row r="72" spans="1:9" x14ac:dyDescent="0.2">
      <c r="B72" s="91"/>
      <c r="C72" s="15"/>
      <c r="H72" s="137"/>
      <c r="I72" s="19"/>
    </row>
    <row r="73" spans="1:9" x14ac:dyDescent="0.2">
      <c r="B73" s="91" t="s">
        <v>370</v>
      </c>
      <c r="C73" s="15"/>
      <c r="D73" s="1" t="s">
        <v>371</v>
      </c>
      <c r="E73" s="2" t="s">
        <v>356</v>
      </c>
      <c r="H73" s="137"/>
      <c r="I73" s="19"/>
    </row>
    <row r="74" spans="1:9" x14ac:dyDescent="0.2">
      <c r="B74" s="91"/>
      <c r="C74" s="15"/>
      <c r="D74" s="1" t="s">
        <v>372</v>
      </c>
      <c r="E74" s="2" t="s">
        <v>356</v>
      </c>
      <c r="H74" s="137"/>
      <c r="I74" s="19"/>
    </row>
    <row r="75" spans="1:9" x14ac:dyDescent="0.2">
      <c r="B75" s="91"/>
      <c r="C75" s="15"/>
      <c r="H75" s="137"/>
      <c r="I75" s="19"/>
    </row>
    <row r="76" spans="1:9" x14ac:dyDescent="0.2">
      <c r="B76" s="91" t="s">
        <v>373</v>
      </c>
      <c r="C76" s="15"/>
      <c r="D76" s="1" t="s">
        <v>374</v>
      </c>
      <c r="E76" s="2" t="s">
        <v>356</v>
      </c>
      <c r="H76" s="137"/>
      <c r="I76" s="19"/>
    </row>
    <row r="77" spans="1:9" x14ac:dyDescent="0.2">
      <c r="B77" s="91"/>
      <c r="C77" s="15"/>
      <c r="D77" s="1" t="s">
        <v>375</v>
      </c>
      <c r="E77" s="2" t="s">
        <v>356</v>
      </c>
      <c r="H77" s="137"/>
      <c r="I77" s="19"/>
    </row>
    <row r="78" spans="1:9" x14ac:dyDescent="0.2">
      <c r="B78" s="91"/>
      <c r="C78" s="15"/>
      <c r="H78" s="137"/>
      <c r="I78" s="19"/>
    </row>
    <row r="79" spans="1:9" x14ac:dyDescent="0.2">
      <c r="B79" s="91"/>
      <c r="C79" s="15"/>
      <c r="H79" s="137"/>
      <c r="I79" s="19"/>
    </row>
    <row r="80" spans="1:9" s="9" customFormat="1" x14ac:dyDescent="0.2">
      <c r="A80" s="1"/>
      <c r="B80" s="8" t="s">
        <v>376</v>
      </c>
      <c r="E80" s="54"/>
      <c r="G80" s="68"/>
      <c r="H80" s="138"/>
      <c r="I80" s="20"/>
    </row>
    <row r="81" spans="1:9" ht="14.4" x14ac:dyDescent="0.3">
      <c r="B81" s="21" t="s">
        <v>221</v>
      </c>
      <c r="C81" s="15" t="s">
        <v>195</v>
      </c>
      <c r="D81" s="1" t="s">
        <v>377</v>
      </c>
      <c r="F81"/>
      <c r="H81" s="137"/>
      <c r="I81" s="19"/>
    </row>
    <row r="82" spans="1:9" x14ac:dyDescent="0.2">
      <c r="B82" s="9"/>
      <c r="C82" s="15"/>
      <c r="D82" s="1" t="s">
        <v>378</v>
      </c>
      <c r="E82" s="2" t="s">
        <v>191</v>
      </c>
      <c r="H82" s="137"/>
      <c r="I82" s="19"/>
    </row>
    <row r="83" spans="1:9" x14ac:dyDescent="0.2">
      <c r="B83" s="9"/>
      <c r="C83" s="15" t="s">
        <v>196</v>
      </c>
      <c r="H83" s="137"/>
      <c r="I83" s="19"/>
    </row>
    <row r="84" spans="1:9" x14ac:dyDescent="0.2">
      <c r="B84" s="9"/>
      <c r="C84" s="15"/>
      <c r="H84" s="137"/>
      <c r="I84" s="19"/>
    </row>
    <row r="85" spans="1:9" x14ac:dyDescent="0.2">
      <c r="B85" s="21" t="s">
        <v>230</v>
      </c>
      <c r="C85" s="15" t="s">
        <v>195</v>
      </c>
      <c r="D85" s="1" t="s">
        <v>377</v>
      </c>
      <c r="H85" s="137"/>
      <c r="I85" s="19"/>
    </row>
    <row r="86" spans="1:9" x14ac:dyDescent="0.2">
      <c r="B86" s="9"/>
      <c r="C86" s="15"/>
      <c r="D86" s="1" t="s">
        <v>378</v>
      </c>
      <c r="E86" s="2" t="s">
        <v>191</v>
      </c>
      <c r="H86" s="137"/>
      <c r="I86" s="19"/>
    </row>
    <row r="87" spans="1:9" x14ac:dyDescent="0.2">
      <c r="B87" s="9"/>
      <c r="C87" s="15" t="s">
        <v>196</v>
      </c>
      <c r="H87" s="137"/>
      <c r="I87" s="19"/>
    </row>
    <row r="88" spans="1:9" x14ac:dyDescent="0.2">
      <c r="B88" s="9"/>
      <c r="C88" s="15"/>
      <c r="H88" s="137"/>
      <c r="I88" s="19"/>
    </row>
    <row r="89" spans="1:9" s="9" customFormat="1" x14ac:dyDescent="0.2">
      <c r="A89" s="1"/>
      <c r="B89" s="8" t="s">
        <v>229</v>
      </c>
      <c r="E89" s="54"/>
      <c r="G89" s="68"/>
      <c r="H89" s="138"/>
      <c r="I89" s="20"/>
    </row>
    <row r="90" spans="1:9" x14ac:dyDescent="0.2">
      <c r="B90" s="21" t="s">
        <v>230</v>
      </c>
      <c r="C90" s="15" t="s">
        <v>195</v>
      </c>
      <c r="D90" s="1" t="s">
        <v>377</v>
      </c>
      <c r="H90" s="137"/>
      <c r="I90" s="19"/>
    </row>
    <row r="91" spans="1:9" x14ac:dyDescent="0.2">
      <c r="B91" s="9"/>
      <c r="C91" s="15"/>
      <c r="D91" s="1" t="s">
        <v>378</v>
      </c>
      <c r="E91" s="2" t="s">
        <v>191</v>
      </c>
      <c r="H91" s="137"/>
      <c r="I91" s="19"/>
    </row>
    <row r="92" spans="1:9" x14ac:dyDescent="0.2">
      <c r="B92" s="9"/>
      <c r="C92" s="15" t="s">
        <v>196</v>
      </c>
      <c r="H92" s="137"/>
      <c r="I92" s="19"/>
    </row>
    <row r="93" spans="1:9" x14ac:dyDescent="0.2">
      <c r="B93" s="9"/>
      <c r="C93" s="15"/>
      <c r="H93" s="137"/>
      <c r="I93" s="19"/>
    </row>
    <row r="94" spans="1:9" x14ac:dyDescent="0.2">
      <c r="B94" s="21" t="s">
        <v>230</v>
      </c>
      <c r="C94" s="15" t="s">
        <v>195</v>
      </c>
      <c r="D94" s="1" t="s">
        <v>377</v>
      </c>
      <c r="H94" s="137"/>
      <c r="I94" s="19"/>
    </row>
    <row r="95" spans="1:9" x14ac:dyDescent="0.2">
      <c r="B95" s="9"/>
      <c r="C95" s="15"/>
      <c r="D95" s="1" t="s">
        <v>378</v>
      </c>
      <c r="E95" s="2" t="s">
        <v>191</v>
      </c>
      <c r="H95" s="137"/>
      <c r="I95" s="19"/>
    </row>
    <row r="96" spans="1:9" x14ac:dyDescent="0.2">
      <c r="B96" s="9"/>
      <c r="C96" s="15" t="s">
        <v>196</v>
      </c>
      <c r="H96" s="137"/>
      <c r="I96" s="19"/>
    </row>
    <row r="97" spans="1:9" x14ac:dyDescent="0.2">
      <c r="B97" s="9"/>
      <c r="H97" s="137"/>
      <c r="I97" s="19"/>
    </row>
    <row r="98" spans="1:9" s="9" customFormat="1" x14ac:dyDescent="0.2">
      <c r="A98" s="1"/>
      <c r="B98" s="8" t="s">
        <v>231</v>
      </c>
      <c r="E98" s="54"/>
      <c r="G98" s="68"/>
      <c r="H98" s="138"/>
      <c r="I98" s="20"/>
    </row>
    <row r="99" spans="1:9" x14ac:dyDescent="0.2">
      <c r="B99" s="21" t="s">
        <v>230</v>
      </c>
      <c r="C99" s="15" t="s">
        <v>195</v>
      </c>
      <c r="D99" s="1" t="s">
        <v>377</v>
      </c>
      <c r="E99" s="2" t="s">
        <v>379</v>
      </c>
      <c r="H99" s="137"/>
      <c r="I99" s="19"/>
    </row>
    <row r="100" spans="1:9" x14ac:dyDescent="0.2">
      <c r="B100" s="21"/>
      <c r="C100" s="15"/>
      <c r="D100" s="1" t="s">
        <v>377</v>
      </c>
      <c r="E100" s="2" t="s">
        <v>184</v>
      </c>
      <c r="H100" s="137"/>
      <c r="I100" s="19"/>
    </row>
    <row r="101" spans="1:9" x14ac:dyDescent="0.2">
      <c r="B101" s="21"/>
      <c r="C101" s="15"/>
      <c r="D101" s="1" t="s">
        <v>380</v>
      </c>
      <c r="E101" s="2" t="s">
        <v>267</v>
      </c>
      <c r="H101" s="137"/>
      <c r="I101" s="19"/>
    </row>
    <row r="102" spans="1:9" x14ac:dyDescent="0.2">
      <c r="B102" s="21"/>
      <c r="C102" s="15"/>
      <c r="D102" s="1" t="s">
        <v>381</v>
      </c>
      <c r="E102" s="2" t="s">
        <v>382</v>
      </c>
      <c r="H102" s="137"/>
      <c r="I102" s="19"/>
    </row>
    <row r="103" spans="1:9" x14ac:dyDescent="0.2">
      <c r="B103" s="21"/>
      <c r="C103" s="15"/>
      <c r="D103" s="1" t="s">
        <v>383</v>
      </c>
      <c r="E103" s="2" t="s">
        <v>191</v>
      </c>
      <c r="H103" s="137"/>
      <c r="I103" s="19"/>
    </row>
    <row r="104" spans="1:9" x14ac:dyDescent="0.2">
      <c r="B104" s="9"/>
      <c r="C104" s="15"/>
      <c r="D104" s="1" t="s">
        <v>378</v>
      </c>
      <c r="E104" s="2" t="s">
        <v>191</v>
      </c>
      <c r="H104" s="137"/>
      <c r="I104" s="19"/>
    </row>
    <row r="105" spans="1:9" x14ac:dyDescent="0.2">
      <c r="B105" s="9"/>
      <c r="C105" s="15" t="s">
        <v>196</v>
      </c>
      <c r="H105" s="137"/>
      <c r="I105" s="19"/>
    </row>
    <row r="106" spans="1:9" x14ac:dyDescent="0.2">
      <c r="B106" s="9"/>
      <c r="C106" s="15"/>
      <c r="H106" s="137"/>
      <c r="I106" s="19"/>
    </row>
    <row r="107" spans="1:9" x14ac:dyDescent="0.2">
      <c r="B107" s="21" t="s">
        <v>230</v>
      </c>
      <c r="C107" s="15" t="s">
        <v>195</v>
      </c>
      <c r="D107" s="1" t="s">
        <v>377</v>
      </c>
      <c r="H107" s="137"/>
      <c r="I107" s="19"/>
    </row>
    <row r="108" spans="1:9" x14ac:dyDescent="0.2">
      <c r="B108" s="9"/>
      <c r="C108" s="15"/>
      <c r="D108" s="1" t="s">
        <v>378</v>
      </c>
      <c r="E108" s="2" t="s">
        <v>191</v>
      </c>
      <c r="H108" s="137"/>
      <c r="I108" s="19"/>
    </row>
    <row r="109" spans="1:9" x14ac:dyDescent="0.2">
      <c r="B109" s="9"/>
      <c r="C109" s="15" t="s">
        <v>196</v>
      </c>
      <c r="H109" s="137"/>
      <c r="I109" s="19"/>
    </row>
    <row r="110" spans="1:9" x14ac:dyDescent="0.2">
      <c r="B110" s="9"/>
      <c r="H110" s="137"/>
      <c r="I110" s="19"/>
    </row>
    <row r="111" spans="1:9" s="9" customFormat="1" x14ac:dyDescent="0.2">
      <c r="A111" s="1"/>
      <c r="B111" s="8" t="s">
        <v>283</v>
      </c>
      <c r="E111" s="54"/>
      <c r="G111" s="68"/>
      <c r="H111" s="138"/>
      <c r="I111" s="20"/>
    </row>
    <row r="112" spans="1:9" x14ac:dyDescent="0.2">
      <c r="B112" s="21" t="s">
        <v>230</v>
      </c>
      <c r="C112" s="15" t="s">
        <v>195</v>
      </c>
      <c r="D112" s="1" t="s">
        <v>377</v>
      </c>
      <c r="H112" s="137"/>
      <c r="I112" s="19"/>
    </row>
    <row r="113" spans="1:9" x14ac:dyDescent="0.2">
      <c r="B113" s="9"/>
      <c r="C113" s="15"/>
      <c r="D113" s="1" t="s">
        <v>378</v>
      </c>
      <c r="E113" s="2" t="s">
        <v>191</v>
      </c>
      <c r="H113" s="137"/>
      <c r="I113" s="19"/>
    </row>
    <row r="114" spans="1:9" x14ac:dyDescent="0.2">
      <c r="B114" s="9"/>
      <c r="C114" s="15" t="s">
        <v>196</v>
      </c>
      <c r="H114" s="137"/>
      <c r="I114" s="19"/>
    </row>
    <row r="115" spans="1:9" x14ac:dyDescent="0.2">
      <c r="B115" s="9"/>
      <c r="C115" s="15"/>
      <c r="H115" s="137"/>
      <c r="I115" s="19"/>
    </row>
    <row r="116" spans="1:9" x14ac:dyDescent="0.2">
      <c r="B116" s="21" t="s">
        <v>230</v>
      </c>
      <c r="C116" s="15" t="s">
        <v>195</v>
      </c>
      <c r="D116" s="1" t="s">
        <v>377</v>
      </c>
      <c r="H116" s="137"/>
      <c r="I116" s="19"/>
    </row>
    <row r="117" spans="1:9" x14ac:dyDescent="0.2">
      <c r="B117" s="9"/>
      <c r="C117" s="15"/>
      <c r="D117" s="1" t="s">
        <v>378</v>
      </c>
      <c r="E117" s="2" t="s">
        <v>191</v>
      </c>
      <c r="H117" s="137"/>
      <c r="I117" s="19"/>
    </row>
    <row r="118" spans="1:9" x14ac:dyDescent="0.2">
      <c r="B118" s="9"/>
      <c r="C118" s="15" t="s">
        <v>196</v>
      </c>
      <c r="H118" s="137"/>
      <c r="I118" s="19"/>
    </row>
    <row r="119" spans="1:9" x14ac:dyDescent="0.2">
      <c r="B119" s="9"/>
      <c r="H119" s="137"/>
      <c r="I119" s="19"/>
    </row>
    <row r="120" spans="1:9" x14ac:dyDescent="0.2">
      <c r="B120" s="9"/>
      <c r="H120" s="137"/>
      <c r="I120" s="19"/>
    </row>
    <row r="121" spans="1:9" s="9" customFormat="1" x14ac:dyDescent="0.2">
      <c r="A121" s="1"/>
      <c r="B121" s="8" t="s">
        <v>284</v>
      </c>
      <c r="E121" s="54"/>
      <c r="G121" s="68"/>
      <c r="H121" s="138"/>
      <c r="I121" s="20"/>
    </row>
    <row r="122" spans="1:9" x14ac:dyDescent="0.2">
      <c r="B122" s="21" t="s">
        <v>285</v>
      </c>
      <c r="H122" s="137"/>
      <c r="I122" s="19"/>
    </row>
    <row r="123" spans="1:9" x14ac:dyDescent="0.2">
      <c r="B123" s="9"/>
      <c r="H123" s="137"/>
      <c r="I123" s="19"/>
    </row>
    <row r="124" spans="1:9" x14ac:dyDescent="0.2">
      <c r="B124" s="9"/>
      <c r="H124" s="137"/>
      <c r="I124" s="19"/>
    </row>
    <row r="125" spans="1:9" x14ac:dyDescent="0.2">
      <c r="B125" s="9"/>
      <c r="H125" s="137"/>
      <c r="I125" s="19"/>
    </row>
    <row r="126" spans="1:9" x14ac:dyDescent="0.2">
      <c r="B126" s="9"/>
      <c r="H126" s="137"/>
      <c r="I126" s="19"/>
    </row>
    <row r="127" spans="1:9" x14ac:dyDescent="0.2">
      <c r="B127" s="21" t="s">
        <v>228</v>
      </c>
      <c r="H127" s="137"/>
      <c r="I127" s="19"/>
    </row>
    <row r="128" spans="1:9" x14ac:dyDescent="0.2">
      <c r="B128" s="9"/>
      <c r="H128" s="137"/>
      <c r="I128" s="19"/>
    </row>
    <row r="129" spans="1:9" x14ac:dyDescent="0.2">
      <c r="B129" s="9"/>
      <c r="H129" s="137"/>
      <c r="I129" s="19"/>
    </row>
    <row r="130" spans="1:9" x14ac:dyDescent="0.2">
      <c r="B130" s="9"/>
      <c r="H130" s="137"/>
      <c r="I130" s="19"/>
    </row>
    <row r="131" spans="1:9" s="9" customFormat="1" x14ac:dyDescent="0.2">
      <c r="A131" s="1"/>
      <c r="B131" s="8" t="s">
        <v>286</v>
      </c>
      <c r="E131" s="54"/>
      <c r="G131" s="68"/>
      <c r="H131" s="138"/>
      <c r="I131" s="20"/>
    </row>
    <row r="132" spans="1:9" x14ac:dyDescent="0.2">
      <c r="B132" s="9"/>
      <c r="H132" s="137"/>
      <c r="I132" s="19"/>
    </row>
    <row r="133" spans="1:9" x14ac:dyDescent="0.2">
      <c r="B133" s="9"/>
      <c r="H133" s="137"/>
      <c r="I133" s="19"/>
    </row>
    <row r="134" spans="1:9" x14ac:dyDescent="0.2">
      <c r="B134" s="9"/>
      <c r="H134" s="137"/>
      <c r="I134" s="19"/>
    </row>
    <row r="135" spans="1:9" x14ac:dyDescent="0.2">
      <c r="B135" s="9"/>
      <c r="H135" s="137"/>
      <c r="I135" s="19"/>
    </row>
    <row r="136" spans="1:9" x14ac:dyDescent="0.2">
      <c r="B136" s="9"/>
      <c r="H136" s="137"/>
      <c r="I136" s="19"/>
    </row>
    <row r="137" spans="1:9" x14ac:dyDescent="0.2">
      <c r="B137" s="9"/>
      <c r="H137" s="137"/>
      <c r="I137" s="19"/>
    </row>
    <row r="138" spans="1:9" s="9" customFormat="1" x14ac:dyDescent="0.2">
      <c r="A138" s="1"/>
      <c r="B138" s="8" t="s">
        <v>287</v>
      </c>
      <c r="E138" s="54"/>
      <c r="G138" s="68"/>
      <c r="H138" s="138"/>
      <c r="I138" s="20"/>
    </row>
    <row r="139" spans="1:9" x14ac:dyDescent="0.2">
      <c r="B139" s="9"/>
      <c r="H139" s="137"/>
      <c r="I139" s="19"/>
    </row>
    <row r="140" spans="1:9" x14ac:dyDescent="0.2">
      <c r="B140" s="9"/>
      <c r="H140" s="137"/>
      <c r="I140" s="19"/>
    </row>
    <row r="141" spans="1:9" x14ac:dyDescent="0.2">
      <c r="B141" s="9"/>
      <c r="H141" s="137"/>
      <c r="I141" s="19"/>
    </row>
    <row r="142" spans="1:9" x14ac:dyDescent="0.2">
      <c r="B142" s="9"/>
      <c r="H142" s="137"/>
      <c r="I142" s="19"/>
    </row>
    <row r="143" spans="1:9" x14ac:dyDescent="0.2">
      <c r="B143" s="9"/>
      <c r="H143" s="137"/>
      <c r="I143" s="19"/>
    </row>
    <row r="144" spans="1:9" x14ac:dyDescent="0.2">
      <c r="B144" s="9"/>
      <c r="H144" s="137"/>
      <c r="I144" s="19"/>
    </row>
    <row r="145" spans="2:9" x14ac:dyDescent="0.2">
      <c r="B145" s="9"/>
      <c r="H145" s="137"/>
      <c r="I145" s="19"/>
    </row>
  </sheetData>
  <phoneticPr fontId="14" type="noConversion"/>
  <dataValidations count="4">
    <dataValidation type="list" allowBlank="1" showInputMessage="1" showErrorMessage="1" sqref="D56:D58" xr:uid="{4FAAFE1A-FA9D-43F4-B077-9F5AEA0D8713}">
      <formula1>Solvents</formula1>
    </dataValidation>
    <dataValidation type="list" allowBlank="1" showInputMessage="1" showErrorMessage="1" sqref="D61:D63" xr:uid="{9D968844-9F6A-404E-B5A5-2DBCAE0BE18C}">
      <formula1>Critical_elements</formula1>
    </dataValidation>
    <dataValidation type="whole" allowBlank="1" showInputMessage="1" showErrorMessage="1" error="Should be value between 1 and 6. " prompt="1 = Primary data from experiments_x000a_2 = Secondary data from literature for similar technology, time &amp; region_x000a_3 = Secondary data from literature for different technology, time &amp; region _x000a_4 = Expert estimate _x000a_5 = Own assumption_x000a_6 = Default value from template" sqref="H19 H39 H80 H89 H70 H138 H131 H121 H98 H111" xr:uid="{6F1E2B76-7039-4219-B693-C7B644C56CA1}">
      <formula1>1</formula1>
      <formula2>6</formula2>
    </dataValidation>
    <dataValidation type="whole" allowBlank="1" showInputMessage="1" showErrorMessage="1" error="Should be value between 1 and 6. " prompt="1 = Primary data from experiments_x000a_2 = Secondary data for similar technology, time &amp; region_x000a_3 = Secondary data for different technology, time &amp; region _x000a_4 = Expert estimate _x000a_5 = Own assumption_x000a_6 = Default value from template" sqref="H10:H18 H20:H38 H40:H69 H71:H79 H81:H88 H90:H97 H99:H110 H112:H120 H122:H130 H132:H137 H139:H145" xr:uid="{B201783D-BCA5-4846-997C-65C6C5C15515}">
      <formula1>1</formula1>
      <formula2>6</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DB692345-401A-49A5-B3EE-207E18FD79F7}">
            <xm:f>VLOOKUP(D61,'Dropdown list'!$H$6:$I$69,2,FALSE) = 3</xm:f>
            <x14:dxf>
              <fill>
                <patternFill>
                  <bgColor rgb="FFFF0000"/>
                </patternFill>
              </fill>
            </x14:dxf>
          </x14:cfRule>
          <x14:cfRule type="expression" priority="8" id="{9739FC49-C0EB-46EB-8D76-4B938DC57F4E}">
            <xm:f>VLOOKUP(D61,'Dropdown list'!$H$6:$I$69,2,FALSE) = 2</xm:f>
            <x14:dxf>
              <fill>
                <patternFill>
                  <bgColor theme="5"/>
                </patternFill>
              </fill>
            </x14:dxf>
          </x14:cfRule>
          <x14:cfRule type="expression" priority="9" id="{517F440C-8E21-4921-A13C-6F2CF8DED5CA}">
            <xm:f>VLOOKUP(D61,'Dropdown list'!$H$6:$I$69,2,FALSE) = 1</xm:f>
            <x14:dxf>
              <fill>
                <patternFill>
                  <bgColor theme="9"/>
                </patternFill>
              </fill>
            </x14:dxf>
          </x14:cfRule>
          <xm:sqref>D61:D63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FAA6-2FF3-423C-A627-13ADD261272C}">
  <sheetPr codeName="Sheet9">
    <tabColor rgb="FFDADEB8"/>
  </sheetPr>
  <dimension ref="A1:L81"/>
  <sheetViews>
    <sheetView zoomScaleNormal="100" workbookViewId="0">
      <pane xSplit="1" topLeftCell="B1" activePane="topRight" state="frozen"/>
      <selection pane="topRight" activeCell="F58" sqref="F58"/>
    </sheetView>
  </sheetViews>
  <sheetFormatPr defaultColWidth="9.33203125" defaultRowHeight="11.4" x14ac:dyDescent="0.2"/>
  <cols>
    <col min="1" max="2" width="30.6640625" style="1" customWidth="1"/>
    <col min="3" max="3" width="15.6640625" style="1" customWidth="1"/>
    <col min="4" max="4" width="40.6640625" style="1" customWidth="1"/>
    <col min="5" max="5" width="21.6640625" style="1" bestFit="1" customWidth="1"/>
    <col min="6" max="6" width="20.6640625" style="1" customWidth="1"/>
    <col min="7" max="8" width="15.6640625" style="1" customWidth="1"/>
    <col min="9" max="25" width="20.6640625" style="1" customWidth="1"/>
    <col min="26" max="16384" width="9.33203125" style="1"/>
  </cols>
  <sheetData>
    <row r="1" spans="1:12" ht="144" customHeight="1" x14ac:dyDescent="0.2"/>
    <row r="4" spans="1:12" ht="19.8" x14ac:dyDescent="0.3">
      <c r="B4" s="3" t="s">
        <v>384</v>
      </c>
    </row>
    <row r="7" spans="1:12" x14ac:dyDescent="0.2">
      <c r="E7" s="2"/>
      <c r="G7" s="67"/>
      <c r="H7" s="67"/>
    </row>
    <row r="8" spans="1:12" s="125" customFormat="1" x14ac:dyDescent="0.3">
      <c r="A8" s="102"/>
      <c r="B8" s="121"/>
      <c r="C8" s="122"/>
      <c r="D8" s="126" t="s">
        <v>156</v>
      </c>
      <c r="E8" s="121" t="s">
        <v>157</v>
      </c>
      <c r="F8" s="126" t="s">
        <v>212</v>
      </c>
      <c r="G8" s="123" t="s">
        <v>213</v>
      </c>
      <c r="H8" s="123" t="s">
        <v>214</v>
      </c>
      <c r="I8" s="124" t="str">
        <f>'Pathway definition and results'!E13</f>
        <v xml:space="preserve">1. Pathway 1 </v>
      </c>
      <c r="J8" s="121" t="str">
        <f>'Pathway definition and results'!F13</f>
        <v>2. Pathway 2</v>
      </c>
      <c r="K8" s="121" t="str">
        <f>'Pathway definition and results'!G13</f>
        <v>3. Pathway 3</v>
      </c>
      <c r="L8" s="121" t="str">
        <f>'Pathway definition and results'!H13</f>
        <v xml:space="preserve">4. Pathway 4 </v>
      </c>
    </row>
    <row r="9" spans="1:12" s="52" customFormat="1" x14ac:dyDescent="0.2">
      <c r="A9" s="1"/>
      <c r="B9" s="82" t="s">
        <v>385</v>
      </c>
      <c r="C9" s="83"/>
      <c r="E9" s="84"/>
      <c r="G9" s="85"/>
      <c r="H9" s="85"/>
      <c r="I9" s="86"/>
    </row>
    <row r="10" spans="1:12" ht="13.8" x14ac:dyDescent="0.3">
      <c r="B10" s="92" t="s">
        <v>386</v>
      </c>
      <c r="C10" s="15"/>
      <c r="D10" s="23" t="s">
        <v>387</v>
      </c>
      <c r="E10" s="2" t="s">
        <v>388</v>
      </c>
      <c r="F10" s="140">
        <v>1</v>
      </c>
      <c r="G10" s="67" t="s">
        <v>267</v>
      </c>
      <c r="H10" s="80">
        <v>6</v>
      </c>
      <c r="I10" s="19"/>
    </row>
    <row r="11" spans="1:12" ht="13.8" x14ac:dyDescent="0.3">
      <c r="B11" s="92"/>
      <c r="C11" s="15"/>
      <c r="D11" s="23" t="s">
        <v>389</v>
      </c>
      <c r="E11" s="2" t="s">
        <v>388</v>
      </c>
      <c r="F11" s="140">
        <v>0</v>
      </c>
      <c r="G11" s="67" t="s">
        <v>267</v>
      </c>
      <c r="H11" s="80">
        <v>6</v>
      </c>
      <c r="I11" s="19"/>
    </row>
    <row r="12" spans="1:12" ht="13.8" x14ac:dyDescent="0.3">
      <c r="B12" s="52"/>
      <c r="C12" s="15"/>
      <c r="D12" s="23" t="s">
        <v>390</v>
      </c>
      <c r="E12" s="2" t="s">
        <v>391</v>
      </c>
      <c r="F12" s="141">
        <v>28</v>
      </c>
      <c r="G12" s="67" t="s">
        <v>392</v>
      </c>
      <c r="H12" s="80">
        <v>6</v>
      </c>
      <c r="I12" s="19"/>
    </row>
    <row r="13" spans="1:12" ht="13.8" x14ac:dyDescent="0.3">
      <c r="B13" s="52"/>
      <c r="C13" s="15"/>
      <c r="D13" s="23" t="s">
        <v>393</v>
      </c>
      <c r="E13" s="2" t="s">
        <v>394</v>
      </c>
      <c r="F13" s="140">
        <v>265</v>
      </c>
      <c r="G13" s="67" t="s">
        <v>267</v>
      </c>
      <c r="H13" s="80">
        <v>6</v>
      </c>
      <c r="I13" s="19"/>
    </row>
    <row r="14" spans="1:12" ht="13.8" x14ac:dyDescent="0.3">
      <c r="B14" s="52"/>
      <c r="C14" s="15"/>
      <c r="D14" s="23" t="s">
        <v>395</v>
      </c>
      <c r="E14" s="2" t="s">
        <v>396</v>
      </c>
      <c r="F14" s="140">
        <v>782</v>
      </c>
      <c r="G14" s="67" t="s">
        <v>267</v>
      </c>
      <c r="H14" s="80">
        <v>6</v>
      </c>
      <c r="I14" s="19"/>
    </row>
    <row r="15" spans="1:12" ht="13.8" x14ac:dyDescent="0.3">
      <c r="B15" s="52"/>
      <c r="C15" s="15"/>
      <c r="D15" s="23" t="s">
        <v>397</v>
      </c>
      <c r="E15" s="2" t="s">
        <v>398</v>
      </c>
      <c r="F15" s="140">
        <v>1300</v>
      </c>
      <c r="G15" s="67" t="s">
        <v>267</v>
      </c>
      <c r="H15" s="80">
        <v>6</v>
      </c>
      <c r="I15" s="19"/>
    </row>
    <row r="16" spans="1:12" ht="13.8" x14ac:dyDescent="0.3">
      <c r="B16" s="52"/>
      <c r="C16" s="15"/>
      <c r="D16" s="23" t="s">
        <v>399</v>
      </c>
      <c r="E16" s="2" t="s">
        <v>400</v>
      </c>
      <c r="F16" s="140">
        <v>1760</v>
      </c>
      <c r="G16" s="67" t="s">
        <v>267</v>
      </c>
      <c r="H16" s="80">
        <v>6</v>
      </c>
      <c r="I16" s="19"/>
    </row>
    <row r="17" spans="1:9" ht="13.8" x14ac:dyDescent="0.3">
      <c r="B17" s="52"/>
      <c r="C17" s="15"/>
      <c r="D17" s="23" t="s">
        <v>401</v>
      </c>
      <c r="E17" s="2" t="s">
        <v>402</v>
      </c>
      <c r="F17" s="141">
        <v>1980</v>
      </c>
      <c r="G17" s="67" t="s">
        <v>267</v>
      </c>
      <c r="H17" s="80">
        <v>6</v>
      </c>
      <c r="I17" s="19"/>
    </row>
    <row r="18" spans="1:9" ht="13.8" x14ac:dyDescent="0.3">
      <c r="B18" s="52"/>
      <c r="C18" s="15"/>
      <c r="D18" s="23" t="s">
        <v>403</v>
      </c>
      <c r="E18" s="2" t="s">
        <v>404</v>
      </c>
      <c r="F18" s="141">
        <v>4660</v>
      </c>
      <c r="G18" s="67" t="s">
        <v>267</v>
      </c>
      <c r="H18" s="80">
        <v>6</v>
      </c>
      <c r="I18" s="19"/>
    </row>
    <row r="19" spans="1:9" ht="13.8" x14ac:dyDescent="0.3">
      <c r="B19" s="52"/>
      <c r="C19" s="15"/>
      <c r="D19" s="23" t="s">
        <v>405</v>
      </c>
      <c r="E19" s="2" t="s">
        <v>406</v>
      </c>
      <c r="F19" s="141">
        <v>10200</v>
      </c>
      <c r="G19" s="67" t="s">
        <v>267</v>
      </c>
      <c r="H19" s="80">
        <v>6</v>
      </c>
      <c r="I19" s="19"/>
    </row>
    <row r="20" spans="1:9" ht="13.8" x14ac:dyDescent="0.3">
      <c r="B20" s="52"/>
      <c r="C20" s="15"/>
      <c r="D20" s="23" t="s">
        <v>407</v>
      </c>
      <c r="E20" s="2" t="s">
        <v>408</v>
      </c>
      <c r="F20" s="141">
        <v>23500</v>
      </c>
      <c r="G20" s="67" t="s">
        <v>267</v>
      </c>
      <c r="H20" s="80">
        <v>6</v>
      </c>
      <c r="I20" s="19"/>
    </row>
    <row r="21" spans="1:9" x14ac:dyDescent="0.2">
      <c r="B21" s="52"/>
      <c r="C21" s="15"/>
      <c r="D21" s="23"/>
      <c r="E21" s="2"/>
      <c r="F21" s="88"/>
      <c r="G21" s="67"/>
      <c r="H21" s="80"/>
      <c r="I21" s="19"/>
    </row>
    <row r="22" spans="1:9" x14ac:dyDescent="0.2">
      <c r="B22" s="52"/>
      <c r="C22" s="15"/>
      <c r="D22" s="23"/>
      <c r="E22" s="2"/>
      <c r="F22" s="88"/>
      <c r="G22" s="67"/>
      <c r="H22" s="80"/>
      <c r="I22" s="19"/>
    </row>
    <row r="23" spans="1:9" s="52" customFormat="1" x14ac:dyDescent="0.2">
      <c r="A23" s="1"/>
      <c r="B23" s="82" t="s">
        <v>409</v>
      </c>
      <c r="C23" s="83"/>
      <c r="E23" s="84"/>
      <c r="G23" s="85"/>
      <c r="H23" s="85"/>
      <c r="I23" s="86"/>
    </row>
    <row r="24" spans="1:9" ht="13.8" x14ac:dyDescent="0.3">
      <c r="B24" s="92" t="s">
        <v>223</v>
      </c>
      <c r="C24" s="15"/>
      <c r="D24" s="1" t="s">
        <v>599</v>
      </c>
      <c r="E24" s="139" t="s">
        <v>410</v>
      </c>
      <c r="F24" s="147">
        <v>0.25</v>
      </c>
      <c r="G24" s="67" t="s">
        <v>267</v>
      </c>
      <c r="H24" s="80">
        <v>6</v>
      </c>
      <c r="I24" s="19"/>
    </row>
    <row r="25" spans="1:9" ht="13.8" x14ac:dyDescent="0.3">
      <c r="B25" s="52"/>
      <c r="C25" s="15"/>
      <c r="D25" s="1" t="s">
        <v>411</v>
      </c>
      <c r="E25" s="139" t="s">
        <v>410</v>
      </c>
      <c r="G25" s="67" t="s">
        <v>267</v>
      </c>
      <c r="H25" s="80">
        <v>6</v>
      </c>
      <c r="I25" s="19"/>
    </row>
    <row r="26" spans="1:9" ht="13.8" x14ac:dyDescent="0.3">
      <c r="B26" s="52"/>
      <c r="C26" s="15"/>
      <c r="D26" s="1" t="s">
        <v>600</v>
      </c>
      <c r="E26" s="2" t="s">
        <v>412</v>
      </c>
      <c r="F26" s="1">
        <v>1.7600000000000001E-2</v>
      </c>
      <c r="G26" s="67" t="s">
        <v>267</v>
      </c>
      <c r="H26" s="80">
        <v>6</v>
      </c>
      <c r="I26" s="19"/>
    </row>
    <row r="27" spans="1:9" ht="13.8" x14ac:dyDescent="0.3">
      <c r="B27" s="52"/>
      <c r="C27" s="15"/>
      <c r="D27" s="1" t="s">
        <v>601</v>
      </c>
      <c r="E27" s="2" t="s">
        <v>413</v>
      </c>
      <c r="F27" s="392">
        <v>0.73364436</v>
      </c>
      <c r="G27" s="67" t="s">
        <v>267</v>
      </c>
      <c r="H27" s="80">
        <v>6</v>
      </c>
      <c r="I27" s="19"/>
    </row>
    <row r="28" spans="1:9" ht="13.8" x14ac:dyDescent="0.3">
      <c r="B28" s="52"/>
      <c r="C28" s="15"/>
      <c r="D28" s="1" t="s">
        <v>602</v>
      </c>
      <c r="E28" s="2" t="s">
        <v>413</v>
      </c>
      <c r="F28" s="392">
        <f>3015.65461610738/1000</f>
        <v>3.0156546161073803</v>
      </c>
      <c r="G28" s="67" t="s">
        <v>267</v>
      </c>
      <c r="H28" s="80">
        <v>6</v>
      </c>
      <c r="I28" s="19"/>
    </row>
    <row r="29" spans="1:9" ht="13.8" x14ac:dyDescent="0.3">
      <c r="B29" s="52"/>
      <c r="C29" s="15"/>
      <c r="D29" s="1" t="s">
        <v>414</v>
      </c>
      <c r="E29" s="139" t="s">
        <v>415</v>
      </c>
      <c r="F29" s="392">
        <v>3.347E-2</v>
      </c>
      <c r="G29" s="67" t="s">
        <v>267</v>
      </c>
      <c r="H29" s="80">
        <v>6</v>
      </c>
      <c r="I29" s="19"/>
    </row>
    <row r="30" spans="1:9" ht="13.8" x14ac:dyDescent="0.3">
      <c r="B30" s="52"/>
      <c r="C30" s="15"/>
      <c r="D30" s="1" t="s">
        <v>603</v>
      </c>
      <c r="E30" s="139" t="s">
        <v>415</v>
      </c>
      <c r="F30" s="1">
        <v>0.2</v>
      </c>
      <c r="G30" s="67" t="s">
        <v>267</v>
      </c>
      <c r="H30" s="80">
        <v>6</v>
      </c>
      <c r="I30" s="19"/>
    </row>
    <row r="31" spans="1:9" ht="13.8" x14ac:dyDescent="0.3">
      <c r="B31" s="52"/>
      <c r="C31" s="15"/>
      <c r="D31" s="1" t="s">
        <v>604</v>
      </c>
      <c r="E31" s="2" t="s">
        <v>412</v>
      </c>
      <c r="F31" s="1">
        <v>0.27750000000000002</v>
      </c>
      <c r="G31" s="67" t="s">
        <v>267</v>
      </c>
      <c r="H31" s="80">
        <v>6</v>
      </c>
      <c r="I31" s="19"/>
    </row>
    <row r="32" spans="1:9" ht="13.8" x14ac:dyDescent="0.3">
      <c r="B32" s="52"/>
      <c r="C32" s="15"/>
      <c r="D32" s="1" t="s">
        <v>605</v>
      </c>
      <c r="E32" s="2" t="s">
        <v>412</v>
      </c>
      <c r="F32" s="1">
        <v>0.22</v>
      </c>
      <c r="G32" s="67" t="s">
        <v>267</v>
      </c>
      <c r="H32" s="80">
        <v>6</v>
      </c>
      <c r="I32" s="19"/>
    </row>
    <row r="33" spans="2:9" ht="13.8" x14ac:dyDescent="0.3">
      <c r="B33" s="52"/>
      <c r="C33" s="15"/>
      <c r="D33" s="1" t="s">
        <v>606</v>
      </c>
      <c r="E33" s="2" t="s">
        <v>412</v>
      </c>
      <c r="F33" s="1">
        <v>0.43</v>
      </c>
      <c r="G33" s="67" t="s">
        <v>267</v>
      </c>
      <c r="H33" s="80">
        <v>6</v>
      </c>
      <c r="I33" s="19"/>
    </row>
    <row r="34" spans="2:9" ht="13.8" x14ac:dyDescent="0.3">
      <c r="B34" s="52"/>
      <c r="C34" s="15"/>
      <c r="D34" s="1" t="s">
        <v>607</v>
      </c>
      <c r="E34" s="2" t="s">
        <v>412</v>
      </c>
      <c r="F34" s="1">
        <v>0.26</v>
      </c>
      <c r="G34" s="67" t="s">
        <v>267</v>
      </c>
      <c r="H34" s="80">
        <v>6</v>
      </c>
      <c r="I34" s="19"/>
    </row>
    <row r="35" spans="2:9" ht="13.8" x14ac:dyDescent="0.3">
      <c r="B35" s="52"/>
      <c r="C35" s="15"/>
      <c r="D35" s="1" t="s">
        <v>608</v>
      </c>
      <c r="E35" s="2" t="s">
        <v>412</v>
      </c>
      <c r="F35" s="1">
        <v>0.06</v>
      </c>
      <c r="G35" s="67" t="s">
        <v>267</v>
      </c>
      <c r="H35" s="80">
        <v>6</v>
      </c>
      <c r="I35" s="19"/>
    </row>
    <row r="36" spans="2:9" ht="13.8" x14ac:dyDescent="0.3">
      <c r="B36" s="52"/>
      <c r="C36" s="15"/>
      <c r="D36" s="1" t="s">
        <v>609</v>
      </c>
      <c r="E36" s="2" t="s">
        <v>412</v>
      </c>
      <c r="F36" s="1">
        <v>0.05</v>
      </c>
      <c r="G36" s="67" t="s">
        <v>267</v>
      </c>
      <c r="H36" s="80">
        <v>6</v>
      </c>
      <c r="I36" s="19"/>
    </row>
    <row r="37" spans="2:9" ht="13.8" x14ac:dyDescent="0.3">
      <c r="B37" s="52"/>
      <c r="C37" s="15"/>
      <c r="D37" s="1" t="s">
        <v>416</v>
      </c>
      <c r="E37" s="139" t="s">
        <v>417</v>
      </c>
      <c r="F37" s="393">
        <v>1.7409999999999998E-2</v>
      </c>
      <c r="G37" s="67" t="s">
        <v>267</v>
      </c>
      <c r="H37" s="80">
        <v>6</v>
      </c>
      <c r="I37" s="19"/>
    </row>
    <row r="38" spans="2:9" ht="13.8" x14ac:dyDescent="0.3">
      <c r="B38" s="52"/>
      <c r="C38" s="15"/>
      <c r="D38" s="1" t="s">
        <v>610</v>
      </c>
      <c r="E38" s="139" t="s">
        <v>417</v>
      </c>
      <c r="F38" s="394">
        <v>0.62273408600000002</v>
      </c>
      <c r="G38" s="67" t="s">
        <v>267</v>
      </c>
      <c r="H38" s="80">
        <v>6</v>
      </c>
      <c r="I38" s="19"/>
    </row>
    <row r="39" spans="2:9" ht="13.8" x14ac:dyDescent="0.3">
      <c r="B39" s="52"/>
      <c r="C39" s="15"/>
      <c r="D39" s="1" t="s">
        <v>611</v>
      </c>
      <c r="E39" s="139" t="s">
        <v>417</v>
      </c>
      <c r="F39" s="394">
        <v>1.483384086</v>
      </c>
      <c r="G39" s="67" t="s">
        <v>267</v>
      </c>
      <c r="H39" s="80">
        <v>6</v>
      </c>
      <c r="I39" s="19"/>
    </row>
    <row r="40" spans="2:9" ht="13.8" x14ac:dyDescent="0.3">
      <c r="B40" s="52"/>
      <c r="C40" s="15"/>
      <c r="D40" s="1" t="s">
        <v>612</v>
      </c>
      <c r="E40" s="139" t="s">
        <v>417</v>
      </c>
      <c r="F40" s="1">
        <v>0.20399999999999999</v>
      </c>
      <c r="G40" s="67" t="s">
        <v>267</v>
      </c>
      <c r="H40" s="80">
        <v>6</v>
      </c>
      <c r="I40" s="19"/>
    </row>
    <row r="41" spans="2:9" ht="13.8" x14ac:dyDescent="0.3">
      <c r="B41" s="52"/>
      <c r="C41" s="15"/>
      <c r="D41" s="1" t="s">
        <v>613</v>
      </c>
      <c r="E41" s="139" t="s">
        <v>417</v>
      </c>
      <c r="F41" s="392">
        <v>9.4000000000000004E-3</v>
      </c>
      <c r="G41" s="67" t="s">
        <v>267</v>
      </c>
      <c r="H41" s="80">
        <v>6</v>
      </c>
      <c r="I41" s="19"/>
    </row>
    <row r="42" spans="2:9" x14ac:dyDescent="0.2">
      <c r="B42" s="52"/>
      <c r="C42" s="15"/>
      <c r="G42" s="67"/>
      <c r="H42" s="80"/>
      <c r="I42" s="19"/>
    </row>
    <row r="43" spans="2:9" ht="13.8" x14ac:dyDescent="0.3">
      <c r="B43" s="92" t="s">
        <v>418</v>
      </c>
      <c r="C43" s="15"/>
      <c r="D43" s="1" t="s">
        <v>419</v>
      </c>
      <c r="E43" s="2" t="s">
        <v>413</v>
      </c>
      <c r="G43" s="67"/>
      <c r="H43" s="80"/>
      <c r="I43" s="19"/>
    </row>
    <row r="44" spans="2:9" x14ac:dyDescent="0.2">
      <c r="B44" s="52"/>
      <c r="C44" s="15"/>
      <c r="E44" s="2"/>
      <c r="G44" s="67"/>
      <c r="H44" s="80"/>
      <c r="I44" s="19"/>
    </row>
    <row r="45" spans="2:9" ht="13.8" x14ac:dyDescent="0.3">
      <c r="B45" s="92" t="s">
        <v>169</v>
      </c>
      <c r="C45" s="15"/>
      <c r="D45" s="1" t="str">
        <f>'Data - economic'!D56</f>
        <v>Make selection</v>
      </c>
      <c r="E45" s="2" t="s">
        <v>413</v>
      </c>
      <c r="F45" s="159">
        <f>VLOOKUP(D45,Table_solvent[],4,FALSE)</f>
        <v>0</v>
      </c>
      <c r="G45" s="67"/>
      <c r="H45" s="80">
        <v>6</v>
      </c>
      <c r="I45" s="19"/>
    </row>
    <row r="46" spans="2:9" ht="13.8" x14ac:dyDescent="0.3">
      <c r="B46" s="52"/>
      <c r="C46" s="15"/>
      <c r="D46" s="1" t="str">
        <f>'Data - economic'!D57</f>
        <v>Make selection</v>
      </c>
      <c r="E46" s="2" t="s">
        <v>413</v>
      </c>
      <c r="F46" s="159">
        <f>VLOOKUP(D46,Table_solvent[],4,FALSE)</f>
        <v>0</v>
      </c>
      <c r="G46" s="67"/>
      <c r="H46" s="80">
        <v>6</v>
      </c>
      <c r="I46" s="19"/>
    </row>
    <row r="47" spans="2:9" ht="13.8" x14ac:dyDescent="0.3">
      <c r="B47" s="52"/>
      <c r="C47" s="15"/>
      <c r="D47" s="1" t="str">
        <f>'Data - economic'!D58</f>
        <v>Make selection</v>
      </c>
      <c r="E47" s="2" t="s">
        <v>413</v>
      </c>
      <c r="F47" s="159">
        <f>VLOOKUP(D47,Table_solvent[],4,FALSE)</f>
        <v>0</v>
      </c>
      <c r="G47" s="67"/>
      <c r="H47" s="80">
        <v>6</v>
      </c>
      <c r="I47" s="19"/>
    </row>
    <row r="48" spans="2:9" ht="13.8" x14ac:dyDescent="0.3">
      <c r="B48" s="52"/>
      <c r="C48" s="15"/>
      <c r="D48" s="1" t="str">
        <f>'Data - economic'!D59</f>
        <v>Other solvent not in dropdown list</v>
      </c>
      <c r="E48" s="2" t="s">
        <v>413</v>
      </c>
      <c r="F48" s="145"/>
      <c r="G48" s="67"/>
      <c r="H48" s="80"/>
      <c r="I48" s="19"/>
    </row>
    <row r="49" spans="1:9" x14ac:dyDescent="0.2">
      <c r="B49" s="52"/>
      <c r="C49" s="15"/>
      <c r="E49" s="2"/>
      <c r="G49" s="67"/>
      <c r="H49" s="80"/>
      <c r="I49" s="19"/>
    </row>
    <row r="50" spans="1:9" ht="13.8" x14ac:dyDescent="0.3">
      <c r="B50" s="92" t="s">
        <v>168</v>
      </c>
      <c r="C50" s="15"/>
      <c r="E50" s="2" t="s">
        <v>413</v>
      </c>
      <c r="G50" s="67"/>
      <c r="H50" s="80"/>
      <c r="I50" s="19"/>
    </row>
    <row r="51" spans="1:9" x14ac:dyDescent="0.2">
      <c r="B51" s="52"/>
      <c r="C51" s="15"/>
      <c r="E51" s="2"/>
      <c r="G51" s="67"/>
      <c r="H51" s="80"/>
      <c r="I51" s="19"/>
    </row>
    <row r="52" spans="1:9" ht="13.8" x14ac:dyDescent="0.3">
      <c r="B52" s="92" t="s">
        <v>226</v>
      </c>
      <c r="C52" s="15"/>
      <c r="D52" s="1" t="s">
        <v>420</v>
      </c>
      <c r="E52" s="2" t="s">
        <v>413</v>
      </c>
      <c r="G52" s="67"/>
      <c r="H52" s="80"/>
      <c r="I52" s="19"/>
    </row>
    <row r="53" spans="1:9" ht="13.8" x14ac:dyDescent="0.3">
      <c r="B53" s="92"/>
      <c r="C53" s="15"/>
      <c r="D53" s="1" t="s">
        <v>421</v>
      </c>
      <c r="E53" s="2" t="s">
        <v>422</v>
      </c>
      <c r="F53" s="1">
        <v>0.20100000000000001</v>
      </c>
      <c r="G53" s="67" t="s">
        <v>267</v>
      </c>
      <c r="H53" s="80">
        <v>6</v>
      </c>
      <c r="I53" s="19"/>
    </row>
    <row r="54" spans="1:9" ht="13.8" x14ac:dyDescent="0.3">
      <c r="B54" s="52"/>
      <c r="C54" s="15"/>
      <c r="D54" s="1" t="s">
        <v>423</v>
      </c>
      <c r="E54" s="2" t="s">
        <v>413</v>
      </c>
      <c r="G54" s="67" t="s">
        <v>267</v>
      </c>
      <c r="H54" s="80">
        <v>6</v>
      </c>
      <c r="I54" s="19"/>
    </row>
    <row r="55" spans="1:9" x14ac:dyDescent="0.2">
      <c r="B55" s="92"/>
      <c r="C55" s="15"/>
      <c r="E55" s="2"/>
      <c r="G55" s="67"/>
      <c r="H55" s="80"/>
      <c r="I55" s="19"/>
    </row>
    <row r="56" spans="1:9" ht="13.8" x14ac:dyDescent="0.3">
      <c r="B56" s="92" t="s">
        <v>370</v>
      </c>
      <c r="C56" s="15"/>
      <c r="D56" s="1" t="s">
        <v>370</v>
      </c>
      <c r="E56" s="2" t="s">
        <v>413</v>
      </c>
      <c r="G56" s="67"/>
      <c r="H56" s="80"/>
      <c r="I56" s="19"/>
    </row>
    <row r="57" spans="1:9" x14ac:dyDescent="0.2">
      <c r="B57" s="92"/>
      <c r="C57" s="15"/>
      <c r="E57" s="2"/>
      <c r="G57" s="67"/>
      <c r="H57" s="80"/>
      <c r="I57" s="19"/>
    </row>
    <row r="58" spans="1:9" ht="13.8" x14ac:dyDescent="0.3">
      <c r="B58" s="92" t="s">
        <v>373</v>
      </c>
      <c r="C58" s="15"/>
      <c r="D58" s="1" t="s">
        <v>424</v>
      </c>
      <c r="E58" s="2" t="s">
        <v>413</v>
      </c>
      <c r="G58" s="67"/>
      <c r="H58" s="80"/>
      <c r="I58" s="19"/>
    </row>
    <row r="59" spans="1:9" ht="13.8" x14ac:dyDescent="0.3">
      <c r="B59" s="92"/>
      <c r="C59" s="15"/>
      <c r="D59" s="1" t="s">
        <v>425</v>
      </c>
      <c r="E59" s="2" t="s">
        <v>413</v>
      </c>
      <c r="G59" s="67"/>
      <c r="H59" s="80"/>
      <c r="I59" s="19"/>
    </row>
    <row r="60" spans="1:9" x14ac:dyDescent="0.2">
      <c r="B60" s="92"/>
      <c r="C60" s="15"/>
      <c r="E60" s="2"/>
      <c r="G60" s="67"/>
      <c r="H60" s="80"/>
      <c r="I60" s="19"/>
    </row>
    <row r="61" spans="1:9" x14ac:dyDescent="0.2">
      <c r="B61" s="52"/>
      <c r="C61" s="15"/>
      <c r="E61" s="2"/>
      <c r="G61" s="67"/>
      <c r="H61" s="80"/>
      <c r="I61" s="19"/>
    </row>
    <row r="62" spans="1:9" x14ac:dyDescent="0.2">
      <c r="B62" s="52"/>
      <c r="C62" s="15"/>
      <c r="E62" s="2"/>
      <c r="G62" s="67"/>
      <c r="H62" s="80"/>
      <c r="I62" s="19"/>
    </row>
    <row r="63" spans="1:9" s="52" customFormat="1" x14ac:dyDescent="0.2">
      <c r="A63" s="1"/>
      <c r="B63" s="82" t="s">
        <v>426</v>
      </c>
      <c r="E63" s="84"/>
      <c r="G63" s="85"/>
      <c r="H63" s="85"/>
      <c r="I63" s="86"/>
    </row>
    <row r="64" spans="1:9" ht="14.4" x14ac:dyDescent="0.3">
      <c r="B64" s="87"/>
      <c r="C64" s="15"/>
      <c r="D64" s="1" t="s">
        <v>427</v>
      </c>
      <c r="E64" s="2" t="s">
        <v>413</v>
      </c>
      <c r="F64"/>
      <c r="G64" s="67"/>
      <c r="H64" s="80"/>
      <c r="I64" s="19"/>
    </row>
    <row r="65" spans="2:10" x14ac:dyDescent="0.2">
      <c r="B65" s="52"/>
      <c r="C65" s="15"/>
      <c r="E65" s="2"/>
      <c r="G65" s="67"/>
      <c r="H65" s="80"/>
      <c r="I65" s="19"/>
    </row>
    <row r="66" spans="2:10" x14ac:dyDescent="0.2">
      <c r="B66" s="52"/>
      <c r="C66" s="15"/>
      <c r="E66" s="2"/>
      <c r="G66" s="67"/>
      <c r="H66" s="80"/>
      <c r="I66" s="19"/>
    </row>
    <row r="67" spans="2:10" x14ac:dyDescent="0.2">
      <c r="B67" s="52"/>
      <c r="C67" s="15"/>
      <c r="E67" s="2"/>
      <c r="G67" s="67"/>
      <c r="H67" s="80"/>
      <c r="I67" s="19"/>
    </row>
    <row r="68" spans="2:10" x14ac:dyDescent="0.2">
      <c r="B68" s="52"/>
      <c r="C68" s="15"/>
      <c r="E68" s="2"/>
      <c r="G68" s="67"/>
      <c r="H68" s="80"/>
      <c r="I68" s="19"/>
    </row>
    <row r="69" spans="2:10" x14ac:dyDescent="0.2">
      <c r="B69" s="52"/>
      <c r="E69" s="2"/>
      <c r="G69" s="67"/>
      <c r="H69" s="80"/>
      <c r="I69" s="19"/>
    </row>
    <row r="70" spans="2:10" x14ac:dyDescent="0.2">
      <c r="B70" s="52"/>
      <c r="E70" s="2"/>
      <c r="G70" s="67"/>
      <c r="H70" s="80"/>
      <c r="I70" s="19"/>
    </row>
    <row r="71" spans="2:10" x14ac:dyDescent="0.2">
      <c r="B71" s="52"/>
      <c r="E71" s="2"/>
      <c r="G71" s="67"/>
      <c r="H71" s="80"/>
      <c r="I71" s="19"/>
    </row>
    <row r="73" spans="2:10" ht="14.4" x14ac:dyDescent="0.3">
      <c r="J73"/>
    </row>
    <row r="74" spans="2:10" ht="14.4" x14ac:dyDescent="0.3">
      <c r="B74" s="64"/>
      <c r="J74"/>
    </row>
    <row r="75" spans="2:10" ht="14.4" x14ac:dyDescent="0.3">
      <c r="B75" s="64"/>
      <c r="J75"/>
    </row>
    <row r="76" spans="2:10" ht="14.4" x14ac:dyDescent="0.3">
      <c r="B76" s="64"/>
      <c r="J76"/>
    </row>
    <row r="77" spans="2:10" ht="14.4" x14ac:dyDescent="0.3">
      <c r="B77" s="64"/>
      <c r="J77"/>
    </row>
    <row r="78" spans="2:10" ht="14.4" x14ac:dyDescent="0.3">
      <c r="B78" s="64"/>
      <c r="J78"/>
    </row>
    <row r="79" spans="2:10" ht="14.4" x14ac:dyDescent="0.3">
      <c r="B79" s="64"/>
      <c r="J79"/>
    </row>
    <row r="80" spans="2:10" ht="14.4" x14ac:dyDescent="0.3">
      <c r="B80" s="64"/>
      <c r="J80"/>
    </row>
    <row r="81" spans="6:6" ht="14.4" x14ac:dyDescent="0.3">
      <c r="F81"/>
    </row>
  </sheetData>
  <phoneticPr fontId="14" type="noConversion"/>
  <dataValidations xWindow="1269" yWindow="515" count="1">
    <dataValidation type="whole" allowBlank="1" showInputMessage="1" showErrorMessage="1" error="Should be value between 1 and 6. " prompt="1 = Primary data from experiments_x000a_2 = Secondary data for similar technology, time &amp; region_x000a_3 = Secondary data for different technology, time &amp; region _x000a_4 = Expert estimate _x000a_5 = Own assumption_x000a_6 = Default value from template" sqref="H10:H22 H64:H71 H24:H62" xr:uid="{B5FF6BA5-D6DF-4BE3-ADDD-D83F949A7EE3}">
      <formula1>1</formula1>
      <formula2>6</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8FA9FAF3-9F3F-4DBA-B4F1-DAA7F1141023}">
            <xm:f>VLOOKUP($D45,'Dropdown list'!$B$6:$C$58,2,FALSE) = 3</xm:f>
            <x14:dxf>
              <fill>
                <patternFill>
                  <bgColor rgb="FFFF0000"/>
                </patternFill>
              </fill>
            </x14:dxf>
          </x14:cfRule>
          <x14:cfRule type="expression" priority="14" id="{6611F14E-DA1E-4C77-ACE0-EEF017ED75EC}">
            <xm:f>VLOOKUP($D45,'Dropdown list'!$B$6:$C$58,2,FALSE) = 2</xm:f>
            <x14:dxf>
              <fill>
                <patternFill>
                  <bgColor theme="5"/>
                </patternFill>
              </fill>
            </x14:dxf>
          </x14:cfRule>
          <x14:cfRule type="expression" priority="15" id="{7A4C757D-ED3B-49F7-884B-154B376AC558}">
            <xm:f>VLOOKUP($D45,'Dropdown list'!$B$6:$C$58,2,FALSE) = 1</xm:f>
            <x14:dxf>
              <fill>
                <patternFill>
                  <bgColor theme="9"/>
                </patternFill>
              </fill>
            </x14:dxf>
          </x14:cfRule>
          <xm:sqref>D45:D47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55C6-AF47-49A5-9C7A-B2A88C9DC5C9}">
  <sheetPr codeName="Sheet10"/>
  <dimension ref="A1:J39"/>
  <sheetViews>
    <sheetView zoomScaleNormal="100" workbookViewId="0">
      <pane xSplit="1" topLeftCell="B1" activePane="topRight" state="frozen"/>
      <selection pane="topRight" activeCell="A3" sqref="A3"/>
    </sheetView>
  </sheetViews>
  <sheetFormatPr defaultColWidth="9.33203125" defaultRowHeight="11.4" x14ac:dyDescent="0.2"/>
  <cols>
    <col min="1" max="1" width="30.6640625" style="1" customWidth="1"/>
    <col min="2" max="2" width="19" style="1" customWidth="1"/>
    <col min="3" max="3" width="14.6640625" style="1" customWidth="1"/>
    <col min="4" max="16384" width="9.33203125" style="1"/>
  </cols>
  <sheetData>
    <row r="1" spans="1:10" ht="144" customHeight="1" x14ac:dyDescent="0.2"/>
    <row r="4" spans="1:10" ht="19.8" x14ac:dyDescent="0.3">
      <c r="B4" s="3" t="s">
        <v>428</v>
      </c>
    </row>
    <row r="8" spans="1:10" s="9" customFormat="1" x14ac:dyDescent="0.2">
      <c r="A8" s="1"/>
      <c r="B8" s="8" t="s">
        <v>429</v>
      </c>
    </row>
    <row r="10" spans="1:10" x14ac:dyDescent="0.2">
      <c r="C10" s="131" t="s">
        <v>430</v>
      </c>
      <c r="D10" s="131" t="s">
        <v>429</v>
      </c>
    </row>
    <row r="11" spans="1:10" x14ac:dyDescent="0.2">
      <c r="C11" s="2">
        <v>2013</v>
      </c>
      <c r="D11" s="2">
        <v>567.29999999999995</v>
      </c>
    </row>
    <row r="12" spans="1:10" x14ac:dyDescent="0.2">
      <c r="C12" s="2">
        <v>2014</v>
      </c>
      <c r="D12" s="2">
        <v>576.1</v>
      </c>
    </row>
    <row r="13" spans="1:10" x14ac:dyDescent="0.2">
      <c r="C13" s="2">
        <v>2015</v>
      </c>
      <c r="D13" s="2">
        <v>556.79999999999995</v>
      </c>
    </row>
    <row r="14" spans="1:10" x14ac:dyDescent="0.2">
      <c r="C14" s="2">
        <v>2016</v>
      </c>
      <c r="D14" s="2">
        <v>541.70000000000005</v>
      </c>
    </row>
    <row r="15" spans="1:10" x14ac:dyDescent="0.2">
      <c r="C15" s="2">
        <v>2017</v>
      </c>
      <c r="D15" s="2">
        <v>567.5</v>
      </c>
    </row>
    <row r="16" spans="1:10" ht="14.4" x14ac:dyDescent="0.3">
      <c r="C16" s="2">
        <v>2018</v>
      </c>
      <c r="D16" s="2">
        <v>603.1</v>
      </c>
      <c r="J16"/>
    </row>
    <row r="17" spans="1:6" x14ac:dyDescent="0.2">
      <c r="C17" s="2">
        <v>2019</v>
      </c>
      <c r="D17" s="2">
        <v>607.5</v>
      </c>
    </row>
    <row r="18" spans="1:6" ht="14.4" x14ac:dyDescent="0.3">
      <c r="C18" s="2">
        <v>2020</v>
      </c>
      <c r="D18" s="2">
        <v>596.20000000000005</v>
      </c>
      <c r="F18"/>
    </row>
    <row r="19" spans="1:6" ht="14.4" x14ac:dyDescent="0.3">
      <c r="C19" s="2">
        <v>2021</v>
      </c>
      <c r="D19" s="2">
        <v>708</v>
      </c>
      <c r="F19"/>
    </row>
    <row r="20" spans="1:6" ht="14.4" x14ac:dyDescent="0.3">
      <c r="C20" s="2">
        <v>2022</v>
      </c>
      <c r="D20" s="2">
        <v>816</v>
      </c>
      <c r="F20"/>
    </row>
    <row r="21" spans="1:6" ht="14.4" x14ac:dyDescent="0.3">
      <c r="F21"/>
    </row>
    <row r="22" spans="1:6" s="9" customFormat="1" x14ac:dyDescent="0.2">
      <c r="A22" s="1"/>
      <c r="B22" s="8" t="s">
        <v>431</v>
      </c>
    </row>
    <row r="23" spans="1:6" x14ac:dyDescent="0.2">
      <c r="B23" s="59" t="s">
        <v>432</v>
      </c>
    </row>
    <row r="25" spans="1:6" x14ac:dyDescent="0.2">
      <c r="B25" s="191" t="s">
        <v>433</v>
      </c>
      <c r="C25" s="191" t="s">
        <v>434</v>
      </c>
    </row>
    <row r="26" spans="1:6" x14ac:dyDescent="0.2">
      <c r="B26" s="1" t="s">
        <v>435</v>
      </c>
      <c r="C26" s="132">
        <v>1000</v>
      </c>
    </row>
    <row r="27" spans="1:6" x14ac:dyDescent="0.2">
      <c r="D27" s="132"/>
    </row>
    <row r="28" spans="1:6" x14ac:dyDescent="0.2">
      <c r="D28" s="132"/>
    </row>
    <row r="29" spans="1:6" x14ac:dyDescent="0.2">
      <c r="D29" s="132"/>
    </row>
    <row r="30" spans="1:6" s="9" customFormat="1" x14ac:dyDescent="0.2">
      <c r="A30" s="1"/>
      <c r="B30" s="8" t="s">
        <v>436</v>
      </c>
    </row>
    <row r="31" spans="1:6" x14ac:dyDescent="0.2">
      <c r="B31" s="59" t="s">
        <v>437</v>
      </c>
    </row>
    <row r="33" spans="2:4" x14ac:dyDescent="0.2">
      <c r="B33" s="191" t="s">
        <v>156</v>
      </c>
      <c r="C33" s="191" t="s">
        <v>157</v>
      </c>
      <c r="D33" s="191" t="s">
        <v>434</v>
      </c>
    </row>
    <row r="34" spans="2:4" x14ac:dyDescent="0.2">
      <c r="B34" s="1" t="s">
        <v>438</v>
      </c>
      <c r="C34" s="1" t="s">
        <v>439</v>
      </c>
      <c r="D34" s="132">
        <v>1000</v>
      </c>
    </row>
    <row r="35" spans="2:4" x14ac:dyDescent="0.2">
      <c r="D35" s="2"/>
    </row>
    <row r="36" spans="2:4" x14ac:dyDescent="0.2">
      <c r="D36" s="2"/>
    </row>
    <row r="37" spans="2:4" x14ac:dyDescent="0.2">
      <c r="D37" s="2"/>
    </row>
    <row r="38" spans="2:4" x14ac:dyDescent="0.2">
      <c r="D38" s="2"/>
    </row>
    <row r="39" spans="2:4" x14ac:dyDescent="0.2">
      <c r="D39" s="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45103-AB2B-4097-896C-C828710FC7E9}">
  <sheetPr codeName="Sheet7"/>
  <dimension ref="A1:AI207"/>
  <sheetViews>
    <sheetView zoomScaleNormal="100" workbookViewId="0">
      <pane xSplit="1" topLeftCell="B1" activePane="topRight" state="frozen"/>
      <selection pane="topRight" activeCell="F19" sqref="F19"/>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50" t="str">
        <f>'Pathway definition and results'!E13</f>
        <v xml:space="preserve">1. Pathway 1 </v>
      </c>
    </row>
    <row r="6" spans="1:10" s="14" customFormat="1" x14ac:dyDescent="0.2">
      <c r="A6" s="1"/>
      <c r="B6" s="17" t="s">
        <v>440</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20" t="s">
        <v>441</v>
      </c>
      <c r="C30" s="221"/>
      <c r="D30" s="221"/>
      <c r="E30" s="221"/>
      <c r="F30" s="221"/>
      <c r="G30" s="221"/>
      <c r="H30" s="222"/>
      <c r="I30" s="222"/>
      <c r="J30" s="223"/>
    </row>
    <row r="31" spans="2:10" x14ac:dyDescent="0.2">
      <c r="B31" s="25" t="s">
        <v>21</v>
      </c>
      <c r="C31" s="25" t="s">
        <v>156</v>
      </c>
      <c r="D31" s="26"/>
      <c r="E31" s="27" t="s">
        <v>434</v>
      </c>
      <c r="F31" s="28" t="s">
        <v>442</v>
      </c>
      <c r="G31" s="27" t="s">
        <v>434</v>
      </c>
      <c r="H31" s="28" t="str">
        <f>"Unit per " &amp; IF(Technology!$C$32="","FU",Technology!$C$32)</f>
        <v>Unit per FU</v>
      </c>
      <c r="I31" s="29" t="s">
        <v>443</v>
      </c>
      <c r="J31" s="219"/>
    </row>
    <row r="32" spans="2:10" x14ac:dyDescent="0.2">
      <c r="B32" s="30"/>
      <c r="C32" s="30"/>
      <c r="D32" s="24"/>
      <c r="E32" s="31"/>
      <c r="F32" s="32"/>
      <c r="G32" s="14"/>
      <c r="H32" s="24"/>
      <c r="I32" s="14"/>
      <c r="J32" s="218"/>
    </row>
    <row r="33" spans="2:10" x14ac:dyDescent="0.2">
      <c r="B33" s="33" t="s">
        <v>49</v>
      </c>
      <c r="C33" s="34" t="s">
        <v>166</v>
      </c>
      <c r="D33" s="23" t="s">
        <v>444</v>
      </c>
      <c r="E33" s="35"/>
      <c r="F33" s="36" t="s">
        <v>159</v>
      </c>
      <c r="H33" s="36" t="str">
        <f>"kg/" &amp; IF(Technology!$C$32="","FU",Technology!$C$32)</f>
        <v>kg/FU</v>
      </c>
      <c r="J33" s="48"/>
    </row>
    <row r="34" spans="2:10" x14ac:dyDescent="0.2">
      <c r="B34" s="30"/>
      <c r="C34" s="34"/>
      <c r="D34" s="23" t="s">
        <v>445</v>
      </c>
      <c r="E34" s="38"/>
      <c r="F34" s="36" t="s">
        <v>159</v>
      </c>
      <c r="H34" s="36" t="str">
        <f>"kg/" &amp; IF(Technology!$C$32="","FU",Technology!$C$32)</f>
        <v>kg/FU</v>
      </c>
      <c r="J34" s="48"/>
    </row>
    <row r="35" spans="2:10" x14ac:dyDescent="0.2">
      <c r="B35" s="30"/>
      <c r="C35" s="34"/>
      <c r="D35" s="23"/>
      <c r="E35" s="38"/>
      <c r="F35" s="36"/>
      <c r="H35" s="36"/>
      <c r="J35" s="48"/>
    </row>
    <row r="36" spans="2:10" x14ac:dyDescent="0.2">
      <c r="B36" s="30"/>
      <c r="C36" s="34"/>
      <c r="D36" s="23" t="s">
        <v>446</v>
      </c>
      <c r="E36" s="38"/>
      <c r="F36" s="36" t="s">
        <v>171</v>
      </c>
      <c r="H36" s="36" t="str">
        <f>"kWh/" &amp; IF(Technology!$C$32="","FU",Technology!$C$32)</f>
        <v>kWh/FU</v>
      </c>
      <c r="J36" s="48"/>
    </row>
    <row r="37" spans="2:10" x14ac:dyDescent="0.2">
      <c r="B37" s="30"/>
      <c r="C37" s="34"/>
      <c r="D37" s="23" t="s">
        <v>447</v>
      </c>
      <c r="E37" s="38"/>
      <c r="F37" s="36" t="s">
        <v>171</v>
      </c>
      <c r="H37" s="36" t="str">
        <f>"kWh/" &amp; IF(Technology!$C$32="","FU",Technology!$C$32)</f>
        <v>kWh/FU</v>
      </c>
      <c r="J37" s="48"/>
    </row>
    <row r="38" spans="2:10" x14ac:dyDescent="0.2">
      <c r="B38" s="30"/>
      <c r="C38" s="34"/>
      <c r="D38" s="23" t="s">
        <v>248</v>
      </c>
      <c r="E38" s="38"/>
      <c r="F38" s="36" t="s">
        <v>171</v>
      </c>
      <c r="H38" s="36" t="str">
        <f>"kWh/" &amp; IF(Technology!$C$32="","FU",Technology!$C$32)</f>
        <v>kWh/FU</v>
      </c>
      <c r="J38" s="48"/>
    </row>
    <row r="39" spans="2:10" x14ac:dyDescent="0.2">
      <c r="B39" s="30"/>
      <c r="C39" s="34"/>
      <c r="D39" s="23" t="s">
        <v>252</v>
      </c>
      <c r="E39" s="38"/>
      <c r="F39" s="36" t="s">
        <v>171</v>
      </c>
      <c r="H39" s="36" t="str">
        <f>"kWh/" &amp; IF(Technology!$C$32="","FU",Technology!$C$32)</f>
        <v>kWh/FU</v>
      </c>
      <c r="J39" s="48"/>
    </row>
    <row r="40" spans="2:10" x14ac:dyDescent="0.2">
      <c r="B40" s="30"/>
      <c r="C40" s="34"/>
      <c r="D40" s="23"/>
      <c r="E40" s="38"/>
      <c r="F40" s="36"/>
      <c r="H40" s="36"/>
      <c r="J40" s="48"/>
    </row>
    <row r="41" spans="2:10" x14ac:dyDescent="0.2">
      <c r="B41" s="30"/>
      <c r="C41" s="34"/>
      <c r="D41" s="23" t="s">
        <v>269</v>
      </c>
      <c r="E41" s="38"/>
      <c r="F41" s="36" t="s">
        <v>448</v>
      </c>
      <c r="H41" s="36" t="str">
        <f>"m²/" &amp; IF(Technology!$C$32="","FU",Technology!$C$32)</f>
        <v>m²/FU</v>
      </c>
      <c r="J41" s="48"/>
    </row>
    <row r="42" spans="2:10" x14ac:dyDescent="0.2">
      <c r="B42" s="30"/>
      <c r="C42" s="34"/>
      <c r="D42" s="23" t="s">
        <v>449</v>
      </c>
      <c r="E42" s="38"/>
      <c r="F42" s="36" t="s">
        <v>267</v>
      </c>
      <c r="H42" s="36" t="s">
        <v>267</v>
      </c>
      <c r="J42" s="48"/>
    </row>
    <row r="43" spans="2:10" x14ac:dyDescent="0.2">
      <c r="B43" s="30"/>
      <c r="C43" s="34"/>
      <c r="D43" s="23"/>
      <c r="E43" s="38"/>
      <c r="F43" s="36"/>
      <c r="H43" s="36"/>
      <c r="J43" s="48"/>
    </row>
    <row r="44" spans="2:10" x14ac:dyDescent="0.2">
      <c r="B44" s="30"/>
      <c r="C44" s="34" t="s">
        <v>173</v>
      </c>
      <c r="D44" s="23" t="s">
        <v>450</v>
      </c>
      <c r="E44" s="38"/>
      <c r="F44" s="36" t="s">
        <v>159</v>
      </c>
      <c r="H44" s="36" t="str">
        <f>"kg/" &amp; IF(Technology!$C$32="","FU",Technology!$C$32)</f>
        <v>kg/FU</v>
      </c>
      <c r="J44" s="48"/>
    </row>
    <row r="45" spans="2:10" x14ac:dyDescent="0.2">
      <c r="B45" s="30"/>
      <c r="C45" s="34"/>
      <c r="D45" s="23" t="s">
        <v>445</v>
      </c>
      <c r="E45" s="38"/>
      <c r="F45" s="36" t="s">
        <v>159</v>
      </c>
      <c r="H45" s="36" t="str">
        <f>"kg/" &amp; IF(Technology!$C$32="","FU",Technology!$C$32)</f>
        <v>kg/FU</v>
      </c>
      <c r="J45" s="48"/>
    </row>
    <row r="46" spans="2:10" x14ac:dyDescent="0.2">
      <c r="B46" s="30"/>
      <c r="C46" s="34"/>
      <c r="D46" s="23" t="s">
        <v>226</v>
      </c>
      <c r="E46" s="38"/>
      <c r="F46" s="36" t="s">
        <v>159</v>
      </c>
      <c r="H46" s="36" t="str">
        <f>"kg/" &amp; IF(Technology!$C$32="","FU",Technology!$C$32)</f>
        <v>kg/FU</v>
      </c>
      <c r="J46" s="48"/>
    </row>
    <row r="47" spans="2:10" x14ac:dyDescent="0.2">
      <c r="B47" s="30"/>
      <c r="C47" s="34"/>
      <c r="D47" s="23" t="s">
        <v>227</v>
      </c>
      <c r="E47" s="38"/>
      <c r="F47" s="36" t="s">
        <v>159</v>
      </c>
      <c r="H47" s="36" t="str">
        <f>"kg/" &amp; IF(Technology!$C$32="","FU",Technology!$C$32)</f>
        <v>kg/FU</v>
      </c>
      <c r="J47" s="48"/>
    </row>
    <row r="48" spans="2:10" x14ac:dyDescent="0.2">
      <c r="B48" s="30"/>
      <c r="C48" s="39"/>
      <c r="D48" s="23"/>
      <c r="E48" s="38"/>
      <c r="F48" s="36"/>
      <c r="H48" s="36"/>
      <c r="J48" s="48"/>
    </row>
    <row r="49" spans="2:10" x14ac:dyDescent="0.2">
      <c r="B49" s="30"/>
      <c r="C49" s="30"/>
      <c r="D49" s="40"/>
      <c r="E49" s="41"/>
      <c r="F49" s="42"/>
      <c r="G49" s="14"/>
      <c r="H49" s="42"/>
      <c r="I49" s="14"/>
      <c r="J49" s="218"/>
    </row>
    <row r="50" spans="2:10" x14ac:dyDescent="0.2">
      <c r="B50" s="33" t="s">
        <v>49</v>
      </c>
      <c r="C50" s="34" t="s">
        <v>166</v>
      </c>
      <c r="D50" s="23" t="s">
        <v>444</v>
      </c>
      <c r="E50" s="35"/>
      <c r="F50" s="36" t="s">
        <v>159</v>
      </c>
      <c r="H50" s="36" t="str">
        <f>"kg/" &amp; IF(Technology!$C$32="","FU",Technology!$C$32)</f>
        <v>kg/FU</v>
      </c>
      <c r="J50" s="48"/>
    </row>
    <row r="51" spans="2:10" x14ac:dyDescent="0.2">
      <c r="B51" s="33"/>
      <c r="C51" s="34"/>
      <c r="D51" s="23" t="s">
        <v>445</v>
      </c>
      <c r="E51" s="38"/>
      <c r="F51" s="36" t="s">
        <v>159</v>
      </c>
      <c r="H51" s="36" t="str">
        <f>"kg/" &amp; IF(Technology!$C$32="","FU",Technology!$C$32)</f>
        <v>kg/FU</v>
      </c>
      <c r="J51" s="48"/>
    </row>
    <row r="52" spans="2:10" x14ac:dyDescent="0.2">
      <c r="B52" s="33"/>
      <c r="C52" s="34"/>
      <c r="D52" s="23"/>
      <c r="E52" s="38"/>
      <c r="F52" s="36"/>
      <c r="H52" s="36"/>
      <c r="J52" s="48"/>
    </row>
    <row r="53" spans="2:10" x14ac:dyDescent="0.2">
      <c r="B53" s="33"/>
      <c r="C53" s="34"/>
      <c r="D53" s="23" t="s">
        <v>446</v>
      </c>
      <c r="E53" s="38"/>
      <c r="F53" s="36" t="s">
        <v>171</v>
      </c>
      <c r="H53" s="36" t="str">
        <f>"kWh/" &amp; IF(Technology!$C$32="","FU",Technology!$C$32)</f>
        <v>kWh/FU</v>
      </c>
      <c r="J53" s="48"/>
    </row>
    <row r="54" spans="2:10" x14ac:dyDescent="0.2">
      <c r="B54" s="33"/>
      <c r="C54" s="34"/>
      <c r="D54" s="23" t="s">
        <v>447</v>
      </c>
      <c r="E54" s="38"/>
      <c r="F54" s="36" t="s">
        <v>171</v>
      </c>
      <c r="H54" s="36" t="str">
        <f>"kWh/" &amp; IF(Technology!$C$32="","FU",Technology!$C$32)</f>
        <v>kWh/FU</v>
      </c>
      <c r="J54" s="48"/>
    </row>
    <row r="55" spans="2:10" x14ac:dyDescent="0.2">
      <c r="B55" s="33"/>
      <c r="C55" s="34"/>
      <c r="D55" s="23" t="s">
        <v>248</v>
      </c>
      <c r="E55" s="38"/>
      <c r="F55" s="36" t="s">
        <v>171</v>
      </c>
      <c r="H55" s="36" t="str">
        <f>"kWh/" &amp; IF(Technology!$C$32="","FU",Technology!$C$32)</f>
        <v>kWh/FU</v>
      </c>
      <c r="J55" s="48"/>
    </row>
    <row r="56" spans="2:10" x14ac:dyDescent="0.2">
      <c r="B56" s="33"/>
      <c r="C56" s="34"/>
      <c r="D56" s="23" t="s">
        <v>252</v>
      </c>
      <c r="E56" s="38"/>
      <c r="F56" s="36" t="s">
        <v>171</v>
      </c>
      <c r="H56" s="36" t="str">
        <f>"kWh/" &amp; IF(Technology!$C$32="","FU",Technology!$C$32)</f>
        <v>kWh/FU</v>
      </c>
      <c r="J56" s="48"/>
    </row>
    <row r="57" spans="2:10" x14ac:dyDescent="0.2">
      <c r="B57" s="33"/>
      <c r="F57" s="36"/>
      <c r="H57" s="36"/>
      <c r="J57" s="48"/>
    </row>
    <row r="58" spans="2:10" x14ac:dyDescent="0.2">
      <c r="B58" s="33"/>
      <c r="C58" s="34"/>
      <c r="D58" s="23" t="s">
        <v>269</v>
      </c>
      <c r="E58" s="38"/>
      <c r="F58" s="36" t="s">
        <v>448</v>
      </c>
      <c r="H58" s="36" t="str">
        <f>"m²/" &amp; IF(Technology!$C$32="","FU",Technology!$C$32)</f>
        <v>m²/FU</v>
      </c>
      <c r="J58" s="48"/>
    </row>
    <row r="59" spans="2:10" x14ac:dyDescent="0.2">
      <c r="B59" s="33"/>
      <c r="C59" s="34"/>
      <c r="D59" s="23" t="s">
        <v>449</v>
      </c>
      <c r="E59" s="38"/>
      <c r="F59" s="36" t="s">
        <v>267</v>
      </c>
      <c r="H59" s="36" t="s">
        <v>267</v>
      </c>
      <c r="J59" s="48"/>
    </row>
    <row r="60" spans="2:10" x14ac:dyDescent="0.2">
      <c r="B60" s="33"/>
      <c r="C60" s="34"/>
      <c r="D60" s="23"/>
      <c r="E60" s="38"/>
      <c r="F60" s="36"/>
      <c r="H60" s="36"/>
      <c r="J60" s="48"/>
    </row>
    <row r="61" spans="2:10" x14ac:dyDescent="0.2">
      <c r="B61" s="30"/>
      <c r="C61" s="34" t="s">
        <v>173</v>
      </c>
      <c r="D61" s="23" t="s">
        <v>450</v>
      </c>
      <c r="E61" s="38"/>
      <c r="F61" s="36" t="s">
        <v>159</v>
      </c>
      <c r="H61" s="36" t="str">
        <f>"kg/" &amp; IF(Technology!$C$32="","FU",Technology!$C$32)</f>
        <v>kg/FU</v>
      </c>
      <c r="J61" s="48"/>
    </row>
    <row r="62" spans="2:10" x14ac:dyDescent="0.2">
      <c r="B62" s="30"/>
      <c r="C62" s="39"/>
      <c r="D62" s="23" t="s">
        <v>445</v>
      </c>
      <c r="E62" s="38"/>
      <c r="F62" s="36" t="s">
        <v>159</v>
      </c>
      <c r="H62" s="36" t="str">
        <f>"kg/" &amp; IF(Technology!$C$32="","FU",Technology!$C$32)</f>
        <v>kg/FU</v>
      </c>
      <c r="J62" s="48"/>
    </row>
    <row r="63" spans="2:10" x14ac:dyDescent="0.2">
      <c r="B63" s="30"/>
      <c r="C63" s="39"/>
      <c r="D63" s="23" t="s">
        <v>226</v>
      </c>
      <c r="E63" s="38"/>
      <c r="F63" s="36" t="s">
        <v>159</v>
      </c>
      <c r="H63" s="36" t="str">
        <f>"kg/" &amp; IF(Technology!$C$32="","FU",Technology!$C$32)</f>
        <v>kg/FU</v>
      </c>
      <c r="J63" s="48"/>
    </row>
    <row r="64" spans="2:10" x14ac:dyDescent="0.2">
      <c r="B64" s="30"/>
      <c r="C64" s="39"/>
      <c r="D64" s="23" t="s">
        <v>227</v>
      </c>
      <c r="E64" s="38"/>
      <c r="F64" s="36" t="s">
        <v>159</v>
      </c>
      <c r="H64" s="36" t="str">
        <f>"kg/" &amp; IF(Technology!$C$32="","FU",Technology!$C$32)</f>
        <v>kg/FU</v>
      </c>
      <c r="J64" s="48"/>
    </row>
    <row r="65" spans="2:35" x14ac:dyDescent="0.2">
      <c r="B65" s="30"/>
      <c r="C65" s="39"/>
      <c r="D65" s="23"/>
      <c r="E65" s="38"/>
      <c r="F65" s="36"/>
      <c r="H65" s="36"/>
      <c r="J65" s="48"/>
    </row>
    <row r="66" spans="2:35" x14ac:dyDescent="0.2">
      <c r="B66" s="24"/>
      <c r="C66" s="43"/>
      <c r="D66" s="23"/>
      <c r="E66" s="37"/>
      <c r="F66" s="36"/>
      <c r="G66" s="36"/>
      <c r="J66" s="48"/>
    </row>
    <row r="67" spans="2:35" x14ac:dyDescent="0.2">
      <c r="B67" s="25"/>
      <c r="C67" s="214"/>
      <c r="D67" s="215"/>
      <c r="E67" s="216"/>
      <c r="F67" s="217"/>
      <c r="G67" s="217"/>
      <c r="H67" s="7"/>
      <c r="I67" s="7"/>
      <c r="J67" s="49"/>
    </row>
    <row r="69" spans="2:35" x14ac:dyDescent="0.2">
      <c r="B69" s="130" t="s">
        <v>451</v>
      </c>
      <c r="C69" s="169" t="s">
        <v>157</v>
      </c>
      <c r="D69" s="180" t="s">
        <v>434</v>
      </c>
    </row>
    <row r="70" spans="2:35" x14ac:dyDescent="0.2">
      <c r="B70" s="71" t="s">
        <v>176</v>
      </c>
      <c r="C70" s="2" t="s">
        <v>177</v>
      </c>
      <c r="D70" s="280"/>
    </row>
    <row r="71" spans="2:35" x14ac:dyDescent="0.2">
      <c r="B71" s="18" t="s">
        <v>178</v>
      </c>
      <c r="C71" s="2" t="s">
        <v>177</v>
      </c>
      <c r="D71" s="281"/>
    </row>
    <row r="72" spans="2:35" x14ac:dyDescent="0.2">
      <c r="B72" s="18" t="s">
        <v>179</v>
      </c>
      <c r="C72" s="2" t="s">
        <v>177</v>
      </c>
      <c r="D72" s="281"/>
    </row>
    <row r="73" spans="2:35" x14ac:dyDescent="0.2">
      <c r="B73" s="18" t="s">
        <v>180</v>
      </c>
      <c r="C73" s="2" t="s">
        <v>177</v>
      </c>
      <c r="D73" s="281"/>
    </row>
    <row r="74" spans="2:35" x14ac:dyDescent="0.2">
      <c r="B74" s="18" t="s">
        <v>181</v>
      </c>
      <c r="C74" s="2" t="s">
        <v>177</v>
      </c>
      <c r="D74" s="281"/>
    </row>
    <row r="75" spans="2:35" x14ac:dyDescent="0.2">
      <c r="B75" s="129" t="s">
        <v>182</v>
      </c>
      <c r="C75" s="133" t="s">
        <v>177</v>
      </c>
      <c r="D75" s="282"/>
    </row>
    <row r="78" spans="2:35" x14ac:dyDescent="0.2">
      <c r="B78" s="274" t="s">
        <v>452</v>
      </c>
      <c r="C78" s="275"/>
      <c r="D78" s="275"/>
      <c r="E78" s="429" t="s">
        <v>453</v>
      </c>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30"/>
    </row>
    <row r="79" spans="2:35" x14ac:dyDescent="0.2">
      <c r="B79" s="276" t="s">
        <v>454</v>
      </c>
      <c r="C79" s="46" t="s">
        <v>21</v>
      </c>
      <c r="D79" s="46" t="s">
        <v>156</v>
      </c>
      <c r="E79" s="46">
        <v>0</v>
      </c>
      <c r="F79" s="46">
        <v>1</v>
      </c>
      <c r="G79" s="46">
        <v>2</v>
      </c>
      <c r="H79" s="46">
        <v>3</v>
      </c>
      <c r="I79" s="46">
        <v>4</v>
      </c>
      <c r="J79" s="46">
        <v>5</v>
      </c>
      <c r="K79" s="46">
        <v>6</v>
      </c>
      <c r="L79" s="46">
        <v>7</v>
      </c>
      <c r="M79" s="46">
        <v>8</v>
      </c>
      <c r="N79" s="46">
        <v>9</v>
      </c>
      <c r="O79" s="46">
        <v>10</v>
      </c>
      <c r="P79" s="46">
        <v>11</v>
      </c>
      <c r="Q79" s="46">
        <v>12</v>
      </c>
      <c r="R79" s="46">
        <v>13</v>
      </c>
      <c r="S79" s="46">
        <v>14</v>
      </c>
      <c r="T79" s="46">
        <v>15</v>
      </c>
      <c r="U79" s="46">
        <v>16</v>
      </c>
      <c r="V79" s="46">
        <v>17</v>
      </c>
      <c r="W79" s="46">
        <v>18</v>
      </c>
      <c r="X79" s="46">
        <v>19</v>
      </c>
      <c r="Y79" s="46">
        <v>20</v>
      </c>
      <c r="Z79" s="46">
        <v>21</v>
      </c>
      <c r="AA79" s="46">
        <v>22</v>
      </c>
      <c r="AB79" s="46">
        <v>23</v>
      </c>
      <c r="AC79" s="46">
        <v>24</v>
      </c>
      <c r="AD79" s="46">
        <v>25</v>
      </c>
      <c r="AE79" s="46">
        <v>26</v>
      </c>
      <c r="AF79" s="46">
        <v>27</v>
      </c>
      <c r="AG79" s="46">
        <v>28</v>
      </c>
      <c r="AH79" s="46">
        <v>29</v>
      </c>
      <c r="AI79" s="200">
        <v>30</v>
      </c>
    </row>
    <row r="80" spans="2:35" s="6" customFormat="1" x14ac:dyDescent="0.2">
      <c r="B80" s="277" t="s">
        <v>455</v>
      </c>
      <c r="C80" s="8"/>
      <c r="D80" s="8"/>
      <c r="E80" s="201">
        <f t="shared" ref="E80:AI80" si="0">SUM(E81:E85)</f>
        <v>0</v>
      </c>
      <c r="F80" s="201">
        <f t="shared" si="0"/>
        <v>0</v>
      </c>
      <c r="G80" s="201">
        <f t="shared" si="0"/>
        <v>0</v>
      </c>
      <c r="H80" s="201">
        <f t="shared" si="0"/>
        <v>0</v>
      </c>
      <c r="I80" s="201">
        <f t="shared" si="0"/>
        <v>0</v>
      </c>
      <c r="J80" s="201">
        <f t="shared" si="0"/>
        <v>0</v>
      </c>
      <c r="K80" s="201">
        <f t="shared" si="0"/>
        <v>0</v>
      </c>
      <c r="L80" s="201">
        <f t="shared" si="0"/>
        <v>0</v>
      </c>
      <c r="M80" s="201">
        <f t="shared" si="0"/>
        <v>0</v>
      </c>
      <c r="N80" s="201">
        <f t="shared" si="0"/>
        <v>0</v>
      </c>
      <c r="O80" s="201">
        <f t="shared" si="0"/>
        <v>0</v>
      </c>
      <c r="P80" s="201">
        <f t="shared" si="0"/>
        <v>0</v>
      </c>
      <c r="Q80" s="201">
        <f t="shared" si="0"/>
        <v>0</v>
      </c>
      <c r="R80" s="201">
        <f t="shared" si="0"/>
        <v>0</v>
      </c>
      <c r="S80" s="201">
        <f t="shared" si="0"/>
        <v>0</v>
      </c>
      <c r="T80" s="201">
        <f t="shared" si="0"/>
        <v>0</v>
      </c>
      <c r="U80" s="201">
        <f t="shared" si="0"/>
        <v>0</v>
      </c>
      <c r="V80" s="201">
        <f t="shared" si="0"/>
        <v>0</v>
      </c>
      <c r="W80" s="201">
        <f t="shared" si="0"/>
        <v>0</v>
      </c>
      <c r="X80" s="201">
        <f t="shared" si="0"/>
        <v>0</v>
      </c>
      <c r="Y80" s="201">
        <f t="shared" si="0"/>
        <v>0</v>
      </c>
      <c r="Z80" s="201">
        <f t="shared" si="0"/>
        <v>0</v>
      </c>
      <c r="AA80" s="201">
        <f t="shared" si="0"/>
        <v>0</v>
      </c>
      <c r="AB80" s="201">
        <f t="shared" si="0"/>
        <v>0</v>
      </c>
      <c r="AC80" s="201">
        <f t="shared" si="0"/>
        <v>0</v>
      </c>
      <c r="AD80" s="201">
        <f t="shared" si="0"/>
        <v>0</v>
      </c>
      <c r="AE80" s="201">
        <f t="shared" si="0"/>
        <v>0</v>
      </c>
      <c r="AF80" s="201">
        <f t="shared" si="0"/>
        <v>0</v>
      </c>
      <c r="AG80" s="201">
        <f t="shared" si="0"/>
        <v>0</v>
      </c>
      <c r="AH80" s="201">
        <f t="shared" si="0"/>
        <v>0</v>
      </c>
      <c r="AI80" s="202">
        <f t="shared" si="0"/>
        <v>0</v>
      </c>
    </row>
    <row r="81" spans="2:35" x14ac:dyDescent="0.2">
      <c r="B81" s="20"/>
      <c r="C81" s="21" t="s">
        <v>49</v>
      </c>
      <c r="D81" s="1" t="s">
        <v>455</v>
      </c>
      <c r="E81" s="203"/>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5"/>
    </row>
    <row r="82" spans="2:35" x14ac:dyDescent="0.2">
      <c r="B82" s="20"/>
      <c r="C82" s="21"/>
      <c r="D82" s="1" t="s">
        <v>456</v>
      </c>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6"/>
    </row>
    <row r="83" spans="2:35" x14ac:dyDescent="0.2">
      <c r="B83" s="20"/>
      <c r="C83" s="21" t="s">
        <v>49</v>
      </c>
      <c r="D83" s="1" t="s">
        <v>455</v>
      </c>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5"/>
    </row>
    <row r="84" spans="2:35" x14ac:dyDescent="0.2">
      <c r="B84" s="20"/>
      <c r="C84" s="21"/>
      <c r="D84" s="1" t="s">
        <v>456</v>
      </c>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6"/>
    </row>
    <row r="85" spans="2:35" x14ac:dyDescent="0.2">
      <c r="B85" s="20"/>
      <c r="C85" s="21"/>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6"/>
    </row>
    <row r="86" spans="2:35" s="6" customFormat="1" x14ac:dyDescent="0.2">
      <c r="B86" s="277" t="s">
        <v>457</v>
      </c>
      <c r="C86" s="90"/>
      <c r="D86" s="8"/>
      <c r="E86" s="201"/>
      <c r="F86" s="201">
        <f t="shared" ref="F86:AI86" si="1">SUM(F87:F107)</f>
        <v>0</v>
      </c>
      <c r="G86" s="201">
        <f t="shared" si="1"/>
        <v>0</v>
      </c>
      <c r="H86" s="201">
        <f t="shared" si="1"/>
        <v>0</v>
      </c>
      <c r="I86" s="201">
        <f t="shared" si="1"/>
        <v>0</v>
      </c>
      <c r="J86" s="201">
        <f t="shared" si="1"/>
        <v>0</v>
      </c>
      <c r="K86" s="201">
        <f t="shared" si="1"/>
        <v>0</v>
      </c>
      <c r="L86" s="201">
        <f t="shared" si="1"/>
        <v>0</v>
      </c>
      <c r="M86" s="201">
        <f t="shared" si="1"/>
        <v>0</v>
      </c>
      <c r="N86" s="201">
        <f t="shared" si="1"/>
        <v>0</v>
      </c>
      <c r="O86" s="201">
        <f t="shared" si="1"/>
        <v>0</v>
      </c>
      <c r="P86" s="201">
        <f t="shared" si="1"/>
        <v>0</v>
      </c>
      <c r="Q86" s="201">
        <f t="shared" si="1"/>
        <v>0</v>
      </c>
      <c r="R86" s="201">
        <f t="shared" si="1"/>
        <v>0</v>
      </c>
      <c r="S86" s="201">
        <f t="shared" si="1"/>
        <v>0</v>
      </c>
      <c r="T86" s="201">
        <f t="shared" si="1"/>
        <v>0</v>
      </c>
      <c r="U86" s="201">
        <f t="shared" si="1"/>
        <v>0</v>
      </c>
      <c r="V86" s="201">
        <f t="shared" si="1"/>
        <v>0</v>
      </c>
      <c r="W86" s="201">
        <f t="shared" si="1"/>
        <v>0</v>
      </c>
      <c r="X86" s="201">
        <f t="shared" si="1"/>
        <v>0</v>
      </c>
      <c r="Y86" s="201">
        <f t="shared" si="1"/>
        <v>0</v>
      </c>
      <c r="Z86" s="201">
        <f t="shared" si="1"/>
        <v>0</v>
      </c>
      <c r="AA86" s="201">
        <f t="shared" si="1"/>
        <v>0</v>
      </c>
      <c r="AB86" s="201">
        <f t="shared" si="1"/>
        <v>0</v>
      </c>
      <c r="AC86" s="201">
        <f t="shared" si="1"/>
        <v>0</v>
      </c>
      <c r="AD86" s="201">
        <f t="shared" si="1"/>
        <v>0</v>
      </c>
      <c r="AE86" s="201">
        <f t="shared" si="1"/>
        <v>0</v>
      </c>
      <c r="AF86" s="201">
        <f t="shared" si="1"/>
        <v>0</v>
      </c>
      <c r="AG86" s="201">
        <f t="shared" si="1"/>
        <v>0</v>
      </c>
      <c r="AH86" s="201">
        <f t="shared" si="1"/>
        <v>0</v>
      </c>
      <c r="AI86" s="202">
        <f t="shared" si="1"/>
        <v>0</v>
      </c>
    </row>
    <row r="87" spans="2:35" x14ac:dyDescent="0.2">
      <c r="B87" s="20"/>
      <c r="C87" s="21" t="s">
        <v>367</v>
      </c>
      <c r="D87" s="1" t="s">
        <v>458</v>
      </c>
      <c r="E87" s="203"/>
      <c r="F87" s="203">
        <f>IF(F79&gt;e_ecolifetime_yr,0,$E$80*'Data - economic'!$I$41)</f>
        <v>0</v>
      </c>
      <c r="G87" s="203">
        <f>IF(G79&gt;e_ecolifetime_yr,0,$E$80*'Data - economic'!$I$41)</f>
        <v>0</v>
      </c>
      <c r="H87" s="203">
        <f>IF(H79&gt;e_ecolifetime_yr,0,$E$80*'Data - economic'!$I$41)</f>
        <v>0</v>
      </c>
      <c r="I87" s="203">
        <f>IF(I79&gt;e_ecolifetime_yr,0,$E$80*'Data - economic'!$I$41)</f>
        <v>0</v>
      </c>
      <c r="J87" s="203">
        <f>IF(J79&gt;e_ecolifetime_yr,0,$E$80*'Data - economic'!$I$41)</f>
        <v>0</v>
      </c>
      <c r="K87" s="203">
        <f>IF(K79&gt;e_ecolifetime_yr,0,$E$80*'Data - economic'!$I$41)</f>
        <v>0</v>
      </c>
      <c r="L87" s="203">
        <f>IF(L79&gt;e_ecolifetime_yr,0,$E$80*'Data - economic'!$I$41)</f>
        <v>0</v>
      </c>
      <c r="M87" s="203">
        <f>IF(M79&gt;e_ecolifetime_yr,0,$E$80*'Data - economic'!$I$41)</f>
        <v>0</v>
      </c>
      <c r="N87" s="203">
        <f>IF(N79&gt;e_ecolifetime_yr,0,$E$80*'Data - economic'!$I$41)</f>
        <v>0</v>
      </c>
      <c r="O87" s="203">
        <f>IF(O79&gt;e_ecolifetime_yr,0,$E$80*'Data - economic'!$I$41)</f>
        <v>0</v>
      </c>
      <c r="P87" s="203">
        <f>IF(P79&gt;e_ecolifetime_yr,0,$E$80*'Data - economic'!$I$41)</f>
        <v>0</v>
      </c>
      <c r="Q87" s="203">
        <f>IF(Q79&gt;e_ecolifetime_yr,0,$E$80*'Data - economic'!$I$41)</f>
        <v>0</v>
      </c>
      <c r="R87" s="203">
        <f>IF(R79&gt;e_ecolifetime_yr,0,$E$80*'Data - economic'!$I$41)</f>
        <v>0</v>
      </c>
      <c r="S87" s="203">
        <f>IF(S79&gt;e_ecolifetime_yr,0,$E$80*'Data - economic'!$I$41)</f>
        <v>0</v>
      </c>
      <c r="T87" s="203">
        <f>IF(T79&gt;e_ecolifetime_yr,0,$E$80*'Data - economic'!$I$41)</f>
        <v>0</v>
      </c>
      <c r="U87" s="203">
        <f>IF(U79&gt;e_ecolifetime_yr,0,$E$80*'Data - economic'!$I$41)</f>
        <v>0</v>
      </c>
      <c r="V87" s="203">
        <f>IF(V79&gt;e_ecolifetime_yr,0,$E$80*'Data - economic'!$I$41)</f>
        <v>0</v>
      </c>
      <c r="W87" s="203">
        <f>IF(W79&gt;e_ecolifetime_yr,0,$E$80*'Data - economic'!$I$41)</f>
        <v>0</v>
      </c>
      <c r="X87" s="203">
        <f>IF(X79&gt;e_ecolifetime_yr,0,$E$80*'Data - economic'!$I$41)</f>
        <v>0</v>
      </c>
      <c r="Y87" s="203">
        <f>IF(Y79&gt;e_ecolifetime_yr,0,$E$80*'Data - economic'!$I$41)</f>
        <v>0</v>
      </c>
      <c r="Z87" s="203">
        <f>IF(Z79&gt;e_ecolifetime_yr,0,$E$80*'Data - economic'!$I$41)</f>
        <v>0</v>
      </c>
      <c r="AA87" s="203">
        <f>IF(AA79&gt;e_ecolifetime_yr,0,$E$80*'Data - economic'!$I$41)</f>
        <v>0</v>
      </c>
      <c r="AB87" s="203">
        <f>IF(AB79&gt;e_ecolifetime_yr,0,$E$80*'Data - economic'!$I$41)</f>
        <v>0</v>
      </c>
      <c r="AC87" s="203">
        <f>IF(AC79&gt;e_ecolifetime_yr,0,$E$80*'Data - economic'!$I$41)</f>
        <v>0</v>
      </c>
      <c r="AD87" s="203">
        <f>IF(AD79&gt;e_ecolifetime_yr,0,$E$80*'Data - economic'!$I$41)</f>
        <v>0</v>
      </c>
      <c r="AE87" s="203">
        <f>IF(AE79&gt;e_ecolifetime_yr,0,$E$80*'Data - economic'!$I$41)</f>
        <v>0</v>
      </c>
      <c r="AF87" s="203">
        <f>IF(AF79&gt;e_ecolifetime_yr,0,$E$80*'Data - economic'!$I$41)</f>
        <v>0</v>
      </c>
      <c r="AG87" s="203">
        <f>IF(AG79&gt;e_ecolifetime_yr,0,$E$80*'Data - economic'!$I$41)</f>
        <v>0</v>
      </c>
      <c r="AH87" s="203">
        <f>IF(AH79&gt;e_ecolifetime_yr,0,$E$80*'Data - economic'!$I$41)</f>
        <v>0</v>
      </c>
      <c r="AI87" s="206">
        <f>IF(AI79&gt;e_ecolifetime_yr,0,$E$80*'Data - economic'!$I$41)</f>
        <v>0</v>
      </c>
    </row>
    <row r="88" spans="2:35" x14ac:dyDescent="0.2">
      <c r="B88" s="20"/>
      <c r="C88" s="21"/>
      <c r="D88" s="1" t="s">
        <v>459</v>
      </c>
      <c r="E88" s="203"/>
      <c r="F88" s="203">
        <f>IF(F79&gt;e_ecolifetime_yr,0,$E$80*'Data - economic'!$I$42)</f>
        <v>0</v>
      </c>
      <c r="G88" s="203">
        <f>IF(G79&gt;e_ecolifetime_yr,0,$E$80*'Data - economic'!$I$42)</f>
        <v>0</v>
      </c>
      <c r="H88" s="203">
        <f>IF(H79&gt;e_ecolifetime_yr,0,$E$80*'Data - economic'!$I$42)</f>
        <v>0</v>
      </c>
      <c r="I88" s="203">
        <f>IF(I79&gt;e_ecolifetime_yr,0,$E$80*'Data - economic'!$I$42)</f>
        <v>0</v>
      </c>
      <c r="J88" s="203">
        <f>IF(J79&gt;e_ecolifetime_yr,0,$E$80*'Data - economic'!$I$42)</f>
        <v>0</v>
      </c>
      <c r="K88" s="203">
        <f>IF(K79&gt;e_ecolifetime_yr,0,$E$80*'Data - economic'!$I$42)</f>
        <v>0</v>
      </c>
      <c r="L88" s="203">
        <f>IF(L79&gt;e_ecolifetime_yr,0,$E$80*'Data - economic'!$I$42)</f>
        <v>0</v>
      </c>
      <c r="M88" s="203">
        <f>IF(M79&gt;e_ecolifetime_yr,0,$E$80*'Data - economic'!$I$42)</f>
        <v>0</v>
      </c>
      <c r="N88" s="203">
        <f>IF(N79&gt;e_ecolifetime_yr,0,$E$80*'Data - economic'!$I$42)</f>
        <v>0</v>
      </c>
      <c r="O88" s="203">
        <f>IF(O79&gt;e_ecolifetime_yr,0,$E$80*'Data - economic'!$I$42)</f>
        <v>0</v>
      </c>
      <c r="P88" s="203">
        <f>IF(P79&gt;e_ecolifetime_yr,0,$E$80*'Data - economic'!$I$42)</f>
        <v>0</v>
      </c>
      <c r="Q88" s="203">
        <f>IF(Q79&gt;e_ecolifetime_yr,0,$E$80*'Data - economic'!$I$42)</f>
        <v>0</v>
      </c>
      <c r="R88" s="203">
        <f>IF(R79&gt;e_ecolifetime_yr,0,$E$80*'Data - economic'!$I$42)</f>
        <v>0</v>
      </c>
      <c r="S88" s="203">
        <f>IF(S79&gt;e_ecolifetime_yr,0,$E$80*'Data - economic'!$I$42)</f>
        <v>0</v>
      </c>
      <c r="T88" s="203">
        <f>IF(T79&gt;e_ecolifetime_yr,0,$E$80*'Data - economic'!$I$42)</f>
        <v>0</v>
      </c>
      <c r="U88" s="203">
        <f>IF(U79&gt;e_ecolifetime_yr,0,$E$80*'Data - economic'!$I$42)</f>
        <v>0</v>
      </c>
      <c r="V88" s="203">
        <f>IF(V79&gt;e_ecolifetime_yr,0,$E$80*'Data - economic'!$I$42)</f>
        <v>0</v>
      </c>
      <c r="W88" s="203">
        <f>IF(W79&gt;e_ecolifetime_yr,0,$E$80*'Data - economic'!$I$42)</f>
        <v>0</v>
      </c>
      <c r="X88" s="203">
        <f>IF(X79&gt;e_ecolifetime_yr,0,$E$80*'Data - economic'!$I$42)</f>
        <v>0</v>
      </c>
      <c r="Y88" s="203">
        <f>IF(Y79&gt;e_ecolifetime_yr,0,$E$80*'Data - economic'!$I$42)</f>
        <v>0</v>
      </c>
      <c r="Z88" s="203">
        <f>IF(Z79&gt;e_ecolifetime_yr,0,$E$80*'Data - economic'!$I$42)</f>
        <v>0</v>
      </c>
      <c r="AA88" s="203">
        <f>IF(AA79&gt;e_ecolifetime_yr,0,$E$80*'Data - economic'!$I$42)</f>
        <v>0</v>
      </c>
      <c r="AB88" s="203">
        <f>IF(AB79&gt;e_ecolifetime_yr,0,$E$80*'Data - economic'!$I$42)</f>
        <v>0</v>
      </c>
      <c r="AC88" s="203">
        <f>IF(AC79&gt;e_ecolifetime_yr,0,$E$80*'Data - economic'!$I$42)</f>
        <v>0</v>
      </c>
      <c r="AD88" s="203">
        <f>IF(AD79&gt;e_ecolifetime_yr,0,$E$80*'Data - economic'!$I$42)</f>
        <v>0</v>
      </c>
      <c r="AE88" s="203">
        <f>IF(AE79&gt;e_ecolifetime_yr,0,$E$80*'Data - economic'!$I$42)</f>
        <v>0</v>
      </c>
      <c r="AF88" s="203">
        <f>IF(AF79&gt;e_ecolifetime_yr,0,$E$80*'Data - economic'!$I$42)</f>
        <v>0</v>
      </c>
      <c r="AG88" s="203">
        <f>IF(AG79&gt;e_ecolifetime_yr,0,$E$80*'Data - economic'!$I$42)</f>
        <v>0</v>
      </c>
      <c r="AH88" s="203">
        <f>IF(AH79&gt;e_ecolifetime_yr,0,$E$80*'Data - economic'!$I$42)</f>
        <v>0</v>
      </c>
      <c r="AI88" s="206">
        <f>IF(AI79&gt;e_ecolifetime_yr,0,$E$80*'Data - economic'!$I$42)</f>
        <v>0</v>
      </c>
    </row>
    <row r="89" spans="2:35" x14ac:dyDescent="0.2">
      <c r="B89" s="20"/>
      <c r="C89" s="21"/>
      <c r="D89" s="1" t="s">
        <v>460</v>
      </c>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6"/>
    </row>
    <row r="90" spans="2:35" x14ac:dyDescent="0.2">
      <c r="B90" s="20"/>
      <c r="C90" s="21"/>
      <c r="D90" s="1" t="s">
        <v>461</v>
      </c>
      <c r="E90" s="203"/>
      <c r="F90" s="203">
        <f>IF(F79&gt;e_ecolifetime_yr,0,('1. Pathway 1'!$F$89+'1. Pathway 1'!$F$88)*'Data - economic'!$I$43)</f>
        <v>0</v>
      </c>
      <c r="G90" s="203">
        <f>IF(G79&gt;e_ecolifetime_yr,0,('1. Pathway 1'!$F$89+'1. Pathway 1'!$F$88)*'Data - economic'!$I$43)</f>
        <v>0</v>
      </c>
      <c r="H90" s="203">
        <f>IF(H79&gt;e_ecolifetime_yr,0,('1. Pathway 1'!$F$89+'1. Pathway 1'!$F$88)*'Data - economic'!$I$43)</f>
        <v>0</v>
      </c>
      <c r="I90" s="203">
        <f>IF(I79&gt;e_ecolifetime_yr,0,('1. Pathway 1'!$F$89+'1. Pathway 1'!$F$88)*'Data - economic'!$I$43)</f>
        <v>0</v>
      </c>
      <c r="J90" s="203">
        <f>IF(J79&gt;e_ecolifetime_yr,0,('1. Pathway 1'!$F$89+'1. Pathway 1'!$F$88)*'Data - economic'!$I$43)</f>
        <v>0</v>
      </c>
      <c r="K90" s="203">
        <f>IF(K79&gt;e_ecolifetime_yr,0,('1. Pathway 1'!$F$89+'1. Pathway 1'!$F$88)*'Data - economic'!$I$43)</f>
        <v>0</v>
      </c>
      <c r="L90" s="203">
        <f>IF(L79&gt;e_ecolifetime_yr,0,('1. Pathway 1'!$F$89+'1. Pathway 1'!$F$88)*'Data - economic'!$I$43)</f>
        <v>0</v>
      </c>
      <c r="M90" s="203">
        <f>IF(M79&gt;e_ecolifetime_yr,0,('1. Pathway 1'!$F$89+'1. Pathway 1'!$F$88)*'Data - economic'!$I$43)</f>
        <v>0</v>
      </c>
      <c r="N90" s="203">
        <f>IF(N79&gt;e_ecolifetime_yr,0,('1. Pathway 1'!$F$89+'1. Pathway 1'!$F$88)*'Data - economic'!$I$43)</f>
        <v>0</v>
      </c>
      <c r="O90" s="203">
        <f>IF(O79&gt;e_ecolifetime_yr,0,('1. Pathway 1'!$F$89+'1. Pathway 1'!$F$88)*'Data - economic'!$I$43)</f>
        <v>0</v>
      </c>
      <c r="P90" s="203">
        <f>IF(P79&gt;e_ecolifetime_yr,0,('1. Pathway 1'!$F$89+'1. Pathway 1'!$F$88)*'Data - economic'!$I$43)</f>
        <v>0</v>
      </c>
      <c r="Q90" s="203">
        <f>IF(Q79&gt;e_ecolifetime_yr,0,('1. Pathway 1'!$F$89+'1. Pathway 1'!$F$88)*'Data - economic'!$I$43)</f>
        <v>0</v>
      </c>
      <c r="R90" s="203">
        <f>IF(R79&gt;e_ecolifetime_yr,0,('1. Pathway 1'!$F$89+'1. Pathway 1'!$F$88)*'Data - economic'!$I$43)</f>
        <v>0</v>
      </c>
      <c r="S90" s="203">
        <f>IF(S79&gt;e_ecolifetime_yr,0,('1. Pathway 1'!$F$89+'1. Pathway 1'!$F$88)*'Data - economic'!$I$43)</f>
        <v>0</v>
      </c>
      <c r="T90" s="203">
        <f>IF(T79&gt;e_ecolifetime_yr,0,('1. Pathway 1'!$F$89+'1. Pathway 1'!$F$88)*'Data - economic'!$I$43)</f>
        <v>0</v>
      </c>
      <c r="U90" s="203">
        <f>IF(U79&gt;e_ecolifetime_yr,0,('1. Pathway 1'!$F$89+'1. Pathway 1'!$F$88)*'Data - economic'!$I$43)</f>
        <v>0</v>
      </c>
      <c r="V90" s="203">
        <f>IF(V79&gt;e_ecolifetime_yr,0,('1. Pathway 1'!$F$89+'1. Pathway 1'!$F$88)*'Data - economic'!$I$43)</f>
        <v>0</v>
      </c>
      <c r="W90" s="203">
        <f>IF(W79&gt;e_ecolifetime_yr,0,('1. Pathway 1'!$F$89+'1. Pathway 1'!$F$88)*'Data - economic'!$I$43)</f>
        <v>0</v>
      </c>
      <c r="X90" s="203">
        <f>IF(X79&gt;e_ecolifetime_yr,0,('1. Pathway 1'!$F$89+'1. Pathway 1'!$F$88)*'Data - economic'!$I$43)</f>
        <v>0</v>
      </c>
      <c r="Y90" s="203">
        <f>IF(Y79&gt;e_ecolifetime_yr,0,('1. Pathway 1'!$F$89+'1. Pathway 1'!$F$88)*'Data - economic'!$I$43)</f>
        <v>0</v>
      </c>
      <c r="Z90" s="203">
        <f>IF(Z79&gt;e_ecolifetime_yr,0,('1. Pathway 1'!$F$89+'1. Pathway 1'!$F$88)*'Data - economic'!$I$43)</f>
        <v>0</v>
      </c>
      <c r="AA90" s="203">
        <f>IF(AA79&gt;e_ecolifetime_yr,0,('1. Pathway 1'!$F$89+'1. Pathway 1'!$F$88)*'Data - economic'!$I$43)</f>
        <v>0</v>
      </c>
      <c r="AB90" s="203">
        <f>IF(AB79&gt;e_ecolifetime_yr,0,('1. Pathway 1'!$F$89+'1. Pathway 1'!$F$88)*'Data - economic'!$I$43)</f>
        <v>0</v>
      </c>
      <c r="AC90" s="203">
        <f>IF(AC79&gt;e_ecolifetime_yr,0,('1. Pathway 1'!$F$89+'1. Pathway 1'!$F$88)*'Data - economic'!$I$43)</f>
        <v>0</v>
      </c>
      <c r="AD90" s="203">
        <f>IF(AD79&gt;e_ecolifetime_yr,0,('1. Pathway 1'!$F$89+'1. Pathway 1'!$F$88)*'Data - economic'!$I$43)</f>
        <v>0</v>
      </c>
      <c r="AE90" s="203">
        <f>IF(AE79&gt;e_ecolifetime_yr,0,('1. Pathway 1'!$F$89+'1. Pathway 1'!$F$88)*'Data - economic'!$I$43)</f>
        <v>0</v>
      </c>
      <c r="AF90" s="203">
        <f>IF(AF79&gt;e_ecolifetime_yr,0,('1. Pathway 1'!$F$89+'1. Pathway 1'!$F$88)*'Data - economic'!$I$43)</f>
        <v>0</v>
      </c>
      <c r="AG90" s="203">
        <f>IF(AG79&gt;e_ecolifetime_yr,0,('1. Pathway 1'!$F$89+'1. Pathway 1'!$F$88)*'Data - economic'!$I$43)</f>
        <v>0</v>
      </c>
      <c r="AH90" s="203">
        <f>IF(AH79&gt;e_ecolifetime_yr,0,('1. Pathway 1'!$F$89+'1. Pathway 1'!$F$88)*'Data - economic'!$I$43)</f>
        <v>0</v>
      </c>
      <c r="AI90" s="206">
        <f>IF(AI79&gt;e_ecolifetime_yr,0,('1. Pathway 1'!$F$89+'1. Pathway 1'!$F$88)*'Data - economic'!$I$43)</f>
        <v>0</v>
      </c>
    </row>
    <row r="91" spans="2:35" x14ac:dyDescent="0.2">
      <c r="B91" s="20"/>
      <c r="C91" s="21"/>
      <c r="D91" s="1" t="s">
        <v>342</v>
      </c>
      <c r="E91" s="203"/>
      <c r="F91" s="203">
        <f>IF(F79&gt;e_ecolifetime_yr,0,'1. Pathway 1'!$F$89*'Data - economic'!$I$44)</f>
        <v>0</v>
      </c>
      <c r="G91" s="203">
        <f>IF(G79&gt;e_ecolifetime_yr,0,'1. Pathway 1'!$F$89*'Data - economic'!$I$44)</f>
        <v>0</v>
      </c>
      <c r="H91" s="203">
        <f>IF(H79&gt;e_ecolifetime_yr,0,'1. Pathway 1'!$F$89*'Data - economic'!$I$44)</f>
        <v>0</v>
      </c>
      <c r="I91" s="203">
        <f>IF(I79&gt;e_ecolifetime_yr,0,'1. Pathway 1'!$F$89*'Data - economic'!$I$44)</f>
        <v>0</v>
      </c>
      <c r="J91" s="203">
        <f>IF(J79&gt;e_ecolifetime_yr,0,'1. Pathway 1'!$F$89*'Data - economic'!$I$44)</f>
        <v>0</v>
      </c>
      <c r="K91" s="203">
        <f>IF(K79&gt;e_ecolifetime_yr,0,'1. Pathway 1'!$F$89*'Data - economic'!$I$44)</f>
        <v>0</v>
      </c>
      <c r="L91" s="203">
        <f>IF(L79&gt;e_ecolifetime_yr,0,'1. Pathway 1'!$F$89*'Data - economic'!$I$44)</f>
        <v>0</v>
      </c>
      <c r="M91" s="203">
        <f>IF(M79&gt;e_ecolifetime_yr,0,'1. Pathway 1'!$F$89*'Data - economic'!$I$44)</f>
        <v>0</v>
      </c>
      <c r="N91" s="203">
        <f>IF(N79&gt;e_ecolifetime_yr,0,'1. Pathway 1'!$F$89*'Data - economic'!$I$44)</f>
        <v>0</v>
      </c>
      <c r="O91" s="203">
        <f>IF(O79&gt;e_ecolifetime_yr,0,'1. Pathway 1'!$F$89*'Data - economic'!$I$44)</f>
        <v>0</v>
      </c>
      <c r="P91" s="203">
        <f>IF(P79&gt;e_ecolifetime_yr,0,'1. Pathway 1'!$F$89*'Data - economic'!$I$44)</f>
        <v>0</v>
      </c>
      <c r="Q91" s="203">
        <f>IF(Q79&gt;e_ecolifetime_yr,0,'1. Pathway 1'!$F$89*'Data - economic'!$I$44)</f>
        <v>0</v>
      </c>
      <c r="R91" s="203">
        <f>IF(R79&gt;e_ecolifetime_yr,0,'1. Pathway 1'!$F$89*'Data - economic'!$I$44)</f>
        <v>0</v>
      </c>
      <c r="S91" s="203">
        <f>IF(S79&gt;e_ecolifetime_yr,0,'1. Pathway 1'!$F$89*'Data - economic'!$I$44)</f>
        <v>0</v>
      </c>
      <c r="T91" s="203">
        <f>IF(T79&gt;e_ecolifetime_yr,0,'1. Pathway 1'!$F$89*'Data - economic'!$I$44)</f>
        <v>0</v>
      </c>
      <c r="U91" s="203">
        <f>IF(U79&gt;e_ecolifetime_yr,0,'1. Pathway 1'!$F$89*'Data - economic'!$I$44)</f>
        <v>0</v>
      </c>
      <c r="V91" s="203">
        <f>IF(V79&gt;e_ecolifetime_yr,0,'1. Pathway 1'!$F$89*'Data - economic'!$I$44)</f>
        <v>0</v>
      </c>
      <c r="W91" s="203">
        <f>IF(W79&gt;e_ecolifetime_yr,0,'1. Pathway 1'!$F$89*'Data - economic'!$I$44)</f>
        <v>0</v>
      </c>
      <c r="X91" s="203">
        <f>IF(X79&gt;e_ecolifetime_yr,0,'1. Pathway 1'!$F$89*'Data - economic'!$I$44)</f>
        <v>0</v>
      </c>
      <c r="Y91" s="203">
        <f>IF(Y79&gt;e_ecolifetime_yr,0,'1. Pathway 1'!$F$89*'Data - economic'!$I$44)</f>
        <v>0</v>
      </c>
      <c r="Z91" s="203">
        <f>IF(Z79&gt;e_ecolifetime_yr,0,'1. Pathway 1'!$F$89*'Data - economic'!$I$44)</f>
        <v>0</v>
      </c>
      <c r="AA91" s="203">
        <f>IF(AA79&gt;e_ecolifetime_yr,0,'1. Pathway 1'!$F$89*'Data - economic'!$I$44)</f>
        <v>0</v>
      </c>
      <c r="AB91" s="203">
        <f>IF(AB79&gt;e_ecolifetime_yr,0,'1. Pathway 1'!$F$89*'Data - economic'!$I$44)</f>
        <v>0</v>
      </c>
      <c r="AC91" s="203">
        <f>IF(AC79&gt;e_ecolifetime_yr,0,'1. Pathway 1'!$F$89*'Data - economic'!$I$44)</f>
        <v>0</v>
      </c>
      <c r="AD91" s="203">
        <f>IF(AD79&gt;e_ecolifetime_yr,0,'1. Pathway 1'!$F$89*'Data - economic'!$I$44)</f>
        <v>0</v>
      </c>
      <c r="AE91" s="203">
        <f>IF(AE79&gt;e_ecolifetime_yr,0,'1. Pathway 1'!$F$89*'Data - economic'!$I$44)</f>
        <v>0</v>
      </c>
      <c r="AF91" s="203">
        <f>IF(AF79&gt;e_ecolifetime_yr,0,'1. Pathway 1'!$F$89*'Data - economic'!$I$44)</f>
        <v>0</v>
      </c>
      <c r="AG91" s="203">
        <f>IF(AG79&gt;e_ecolifetime_yr,0,'1. Pathway 1'!$F$89*'Data - economic'!$I$44)</f>
        <v>0</v>
      </c>
      <c r="AH91" s="203">
        <f>IF(AH79&gt;e_ecolifetime_yr,0,'1. Pathway 1'!$F$89*'Data - economic'!$I$44)</f>
        <v>0</v>
      </c>
      <c r="AI91" s="206">
        <f>IF(AI79&gt;e_ecolifetime_yr,0,'1. Pathway 1'!$F$89*'Data - economic'!$I$44)</f>
        <v>0</v>
      </c>
    </row>
    <row r="92" spans="2:35" x14ac:dyDescent="0.2">
      <c r="B92" s="20"/>
      <c r="C92" s="21"/>
      <c r="D92" s="1" t="s">
        <v>344</v>
      </c>
      <c r="E92" s="203"/>
      <c r="F92" s="203">
        <f>IF(F79&gt;e_ecolifetime_yr,0,'1. Pathway 1'!$F$89*'Data - economic'!$I$45)</f>
        <v>0</v>
      </c>
      <c r="G92" s="203">
        <f>IF(G79&gt;e_ecolifetime_yr,0,'1. Pathway 1'!$F$89*'Data - economic'!$I$45)</f>
        <v>0</v>
      </c>
      <c r="H92" s="203">
        <f>IF(H79&gt;e_ecolifetime_yr,0,'1. Pathway 1'!$F$89*'Data - economic'!$I$45)</f>
        <v>0</v>
      </c>
      <c r="I92" s="203">
        <f>IF(I79&gt;e_ecolifetime_yr,0,'1. Pathway 1'!$F$89*'Data - economic'!$I$45)</f>
        <v>0</v>
      </c>
      <c r="J92" s="203">
        <f>IF(J79&gt;e_ecolifetime_yr,0,'1. Pathway 1'!$F$89*'Data - economic'!$I$45)</f>
        <v>0</v>
      </c>
      <c r="K92" s="203">
        <f>IF(K79&gt;e_ecolifetime_yr,0,'1. Pathway 1'!$F$89*'Data - economic'!$I$45)</f>
        <v>0</v>
      </c>
      <c r="L92" s="203">
        <f>IF(L79&gt;e_ecolifetime_yr,0,'1. Pathway 1'!$F$89*'Data - economic'!$I$45)</f>
        <v>0</v>
      </c>
      <c r="M92" s="203">
        <f>IF(M79&gt;e_ecolifetime_yr,0,'1. Pathway 1'!$F$89*'Data - economic'!$I$45)</f>
        <v>0</v>
      </c>
      <c r="N92" s="203">
        <f>IF(N79&gt;e_ecolifetime_yr,0,'1. Pathway 1'!$F$89*'Data - economic'!$I$45)</f>
        <v>0</v>
      </c>
      <c r="O92" s="203">
        <f>IF(O79&gt;e_ecolifetime_yr,0,'1. Pathway 1'!$F$89*'Data - economic'!$I$45)</f>
        <v>0</v>
      </c>
      <c r="P92" s="203">
        <f>IF(P79&gt;e_ecolifetime_yr,0,'1. Pathway 1'!$F$89*'Data - economic'!$I$45)</f>
        <v>0</v>
      </c>
      <c r="Q92" s="203">
        <f>IF(Q79&gt;e_ecolifetime_yr,0,'1. Pathway 1'!$F$89*'Data - economic'!$I$45)</f>
        <v>0</v>
      </c>
      <c r="R92" s="203">
        <f>IF(R79&gt;e_ecolifetime_yr,0,'1. Pathway 1'!$F$89*'Data - economic'!$I$45)</f>
        <v>0</v>
      </c>
      <c r="S92" s="203">
        <f>IF(S79&gt;e_ecolifetime_yr,0,'1. Pathway 1'!$F$89*'Data - economic'!$I$45)</f>
        <v>0</v>
      </c>
      <c r="T92" s="203">
        <f>IF(T79&gt;e_ecolifetime_yr,0,'1. Pathway 1'!$F$89*'Data - economic'!$I$45)</f>
        <v>0</v>
      </c>
      <c r="U92" s="203">
        <f>IF(U79&gt;e_ecolifetime_yr,0,'1. Pathway 1'!$F$89*'Data - economic'!$I$45)</f>
        <v>0</v>
      </c>
      <c r="V92" s="203">
        <f>IF(V79&gt;e_ecolifetime_yr,0,'1. Pathway 1'!$F$89*'Data - economic'!$I$45)</f>
        <v>0</v>
      </c>
      <c r="W92" s="203">
        <f>IF(W79&gt;e_ecolifetime_yr,0,'1. Pathway 1'!$F$89*'Data - economic'!$I$45)</f>
        <v>0</v>
      </c>
      <c r="X92" s="203">
        <f>IF(X79&gt;e_ecolifetime_yr,0,'1. Pathway 1'!$F$89*'Data - economic'!$I$45)</f>
        <v>0</v>
      </c>
      <c r="Y92" s="203">
        <f>IF(Y79&gt;e_ecolifetime_yr,0,'1. Pathway 1'!$F$89*'Data - economic'!$I$45)</f>
        <v>0</v>
      </c>
      <c r="Z92" s="203">
        <f>IF(Z79&gt;e_ecolifetime_yr,0,'1. Pathway 1'!$F$89*'Data - economic'!$I$45)</f>
        <v>0</v>
      </c>
      <c r="AA92" s="203">
        <f>IF(AA79&gt;e_ecolifetime_yr,0,'1. Pathway 1'!$F$89*'Data - economic'!$I$45)</f>
        <v>0</v>
      </c>
      <c r="AB92" s="203">
        <f>IF(AB79&gt;e_ecolifetime_yr,0,'1. Pathway 1'!$F$89*'Data - economic'!$I$45)</f>
        <v>0</v>
      </c>
      <c r="AC92" s="203">
        <f>IF(AC79&gt;e_ecolifetime_yr,0,'1. Pathway 1'!$F$89*'Data - economic'!$I$45)</f>
        <v>0</v>
      </c>
      <c r="AD92" s="203">
        <f>IF(AD79&gt;e_ecolifetime_yr,0,'1. Pathway 1'!$F$89*'Data - economic'!$I$45)</f>
        <v>0</v>
      </c>
      <c r="AE92" s="203">
        <f>IF(AE79&gt;e_ecolifetime_yr,0,'1. Pathway 1'!$F$89*'Data - economic'!$I$45)</f>
        <v>0</v>
      </c>
      <c r="AF92" s="203">
        <f>IF(AF79&gt;e_ecolifetime_yr,0,'1. Pathway 1'!$F$89*'Data - economic'!$I$45)</f>
        <v>0</v>
      </c>
      <c r="AG92" s="203">
        <f>IF(AG79&gt;e_ecolifetime_yr,0,'1. Pathway 1'!$F$89*'Data - economic'!$I$45)</f>
        <v>0</v>
      </c>
      <c r="AH92" s="203">
        <f>IF(AH79&gt;e_ecolifetime_yr,0,'1. Pathway 1'!$F$89*'Data - economic'!$I$45)</f>
        <v>0</v>
      </c>
      <c r="AI92" s="206">
        <f>IF(AI79&gt;e_ecolifetime_yr,0,'1. Pathway 1'!$F$89*'Data - economic'!$I$45)</f>
        <v>0</v>
      </c>
    </row>
    <row r="93" spans="2:35" x14ac:dyDescent="0.2">
      <c r="B93" s="20"/>
      <c r="C93" s="21"/>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6"/>
    </row>
    <row r="94" spans="2:35" x14ac:dyDescent="0.2">
      <c r="B94" s="20"/>
      <c r="C94" s="21"/>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6"/>
    </row>
    <row r="95" spans="2:35" x14ac:dyDescent="0.2">
      <c r="B95" s="20"/>
      <c r="C95" s="21" t="s">
        <v>49</v>
      </c>
      <c r="D95" s="1" t="s">
        <v>462</v>
      </c>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6"/>
    </row>
    <row r="96" spans="2:35" x14ac:dyDescent="0.2">
      <c r="B96" s="20"/>
      <c r="C96" s="21"/>
      <c r="D96" s="1" t="s">
        <v>169</v>
      </c>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6"/>
    </row>
    <row r="97" spans="2:35" x14ac:dyDescent="0.2">
      <c r="B97" s="20"/>
      <c r="C97" s="21"/>
      <c r="D97" s="1" t="s">
        <v>168</v>
      </c>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6"/>
    </row>
    <row r="98" spans="2:35" x14ac:dyDescent="0.2">
      <c r="B98" s="20"/>
      <c r="C98" s="21"/>
      <c r="D98" s="1" t="s">
        <v>170</v>
      </c>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6"/>
    </row>
    <row r="99" spans="2:35" x14ac:dyDescent="0.2">
      <c r="B99" s="20"/>
      <c r="C99" s="21"/>
      <c r="D99" s="1" t="s">
        <v>172</v>
      </c>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6"/>
    </row>
    <row r="100" spans="2:35" x14ac:dyDescent="0.2">
      <c r="B100" s="20"/>
      <c r="C100" s="21"/>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6"/>
    </row>
    <row r="101" spans="2:35" x14ac:dyDescent="0.2">
      <c r="B101" s="20"/>
      <c r="C101" s="21" t="s">
        <v>49</v>
      </c>
      <c r="D101" s="1" t="s">
        <v>462</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6"/>
    </row>
    <row r="102" spans="2:35" x14ac:dyDescent="0.2">
      <c r="B102" s="20"/>
      <c r="C102" s="21"/>
      <c r="D102" s="1" t="s">
        <v>169</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6"/>
    </row>
    <row r="103" spans="2:35" x14ac:dyDescent="0.2">
      <c r="B103" s="20"/>
      <c r="C103" s="21"/>
      <c r="D103" s="1" t="s">
        <v>168</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6"/>
    </row>
    <row r="104" spans="2:35" x14ac:dyDescent="0.2">
      <c r="B104" s="20"/>
      <c r="C104" s="21"/>
      <c r="D104" s="1" t="s">
        <v>170</v>
      </c>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6"/>
    </row>
    <row r="105" spans="2:35" x14ac:dyDescent="0.2">
      <c r="B105" s="20"/>
      <c r="C105" s="21"/>
      <c r="D105" s="1" t="s">
        <v>172</v>
      </c>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6"/>
    </row>
    <row r="106" spans="2:35" x14ac:dyDescent="0.2">
      <c r="B106" s="20"/>
      <c r="C106" s="21"/>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6"/>
    </row>
    <row r="107" spans="2:35" x14ac:dyDescent="0.2">
      <c r="B107" s="20"/>
      <c r="C107" s="21"/>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6"/>
    </row>
    <row r="108" spans="2:35" s="6" customFormat="1" x14ac:dyDescent="0.2">
      <c r="B108" s="277" t="s">
        <v>366</v>
      </c>
      <c r="C108" s="90"/>
      <c r="D108" s="8"/>
      <c r="E108" s="201"/>
      <c r="F108" s="201">
        <f>SUM(F109:F113)</f>
        <v>0</v>
      </c>
      <c r="G108" s="201">
        <f t="shared" ref="G108:AI108" si="2">SUM(G109:G113)</f>
        <v>0</v>
      </c>
      <c r="H108" s="201">
        <f t="shared" si="2"/>
        <v>0</v>
      </c>
      <c r="I108" s="201">
        <f t="shared" si="2"/>
        <v>0</v>
      </c>
      <c r="J108" s="201">
        <f t="shared" si="2"/>
        <v>0</v>
      </c>
      <c r="K108" s="201">
        <f t="shared" si="2"/>
        <v>0</v>
      </c>
      <c r="L108" s="201">
        <f t="shared" si="2"/>
        <v>0</v>
      </c>
      <c r="M108" s="201">
        <f t="shared" si="2"/>
        <v>0</v>
      </c>
      <c r="N108" s="201">
        <f t="shared" si="2"/>
        <v>0</v>
      </c>
      <c r="O108" s="201">
        <f t="shared" si="2"/>
        <v>0</v>
      </c>
      <c r="P108" s="201">
        <f t="shared" si="2"/>
        <v>0</v>
      </c>
      <c r="Q108" s="201">
        <f t="shared" si="2"/>
        <v>0</v>
      </c>
      <c r="R108" s="201">
        <f t="shared" si="2"/>
        <v>0</v>
      </c>
      <c r="S108" s="201">
        <f t="shared" si="2"/>
        <v>0</v>
      </c>
      <c r="T108" s="201">
        <f t="shared" si="2"/>
        <v>0</v>
      </c>
      <c r="U108" s="201">
        <f t="shared" si="2"/>
        <v>0</v>
      </c>
      <c r="V108" s="201">
        <f t="shared" si="2"/>
        <v>0</v>
      </c>
      <c r="W108" s="201">
        <f t="shared" si="2"/>
        <v>0</v>
      </c>
      <c r="X108" s="201">
        <f t="shared" si="2"/>
        <v>0</v>
      </c>
      <c r="Y108" s="201">
        <f t="shared" si="2"/>
        <v>0</v>
      </c>
      <c r="Z108" s="201">
        <f t="shared" si="2"/>
        <v>0</v>
      </c>
      <c r="AA108" s="201">
        <f t="shared" si="2"/>
        <v>0</v>
      </c>
      <c r="AB108" s="201">
        <f t="shared" si="2"/>
        <v>0</v>
      </c>
      <c r="AC108" s="201">
        <f t="shared" si="2"/>
        <v>0</v>
      </c>
      <c r="AD108" s="201">
        <f t="shared" si="2"/>
        <v>0</v>
      </c>
      <c r="AE108" s="201">
        <f t="shared" si="2"/>
        <v>0</v>
      </c>
      <c r="AF108" s="201">
        <f t="shared" si="2"/>
        <v>0</v>
      </c>
      <c r="AG108" s="201">
        <f t="shared" si="2"/>
        <v>0</v>
      </c>
      <c r="AH108" s="201">
        <f t="shared" si="2"/>
        <v>0</v>
      </c>
      <c r="AI108" s="202">
        <f t="shared" si="2"/>
        <v>0</v>
      </c>
    </row>
    <row r="109" spans="2:35" x14ac:dyDescent="0.2">
      <c r="B109" s="20"/>
      <c r="C109" s="21" t="s">
        <v>49</v>
      </c>
      <c r="D109" s="1" t="s">
        <v>370</v>
      </c>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6"/>
    </row>
    <row r="110" spans="2:35" x14ac:dyDescent="0.2">
      <c r="B110" s="20"/>
      <c r="C110" s="21"/>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6"/>
    </row>
    <row r="111" spans="2:35" x14ac:dyDescent="0.2">
      <c r="B111" s="20"/>
      <c r="C111" s="21"/>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6"/>
    </row>
    <row r="112" spans="2:35" x14ac:dyDescent="0.2">
      <c r="B112" s="20"/>
      <c r="C112" s="21" t="s">
        <v>164</v>
      </c>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6"/>
    </row>
    <row r="113" spans="2:35" x14ac:dyDescent="0.2">
      <c r="B113" s="20"/>
      <c r="C113" s="21"/>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6"/>
    </row>
    <row r="114" spans="2:35" s="6" customFormat="1" x14ac:dyDescent="0.2">
      <c r="B114" s="278" t="s">
        <v>463</v>
      </c>
      <c r="C114" s="93"/>
      <c r="D114" s="10"/>
      <c r="E114" s="94"/>
      <c r="F114" s="94">
        <f t="shared" ref="F114:AI114" si="3">F108-F86-F80</f>
        <v>0</v>
      </c>
      <c r="G114" s="94">
        <f t="shared" si="3"/>
        <v>0</v>
      </c>
      <c r="H114" s="94">
        <f t="shared" si="3"/>
        <v>0</v>
      </c>
      <c r="I114" s="94">
        <f t="shared" si="3"/>
        <v>0</v>
      </c>
      <c r="J114" s="94">
        <f t="shared" si="3"/>
        <v>0</v>
      </c>
      <c r="K114" s="94">
        <f t="shared" si="3"/>
        <v>0</v>
      </c>
      <c r="L114" s="94">
        <f t="shared" si="3"/>
        <v>0</v>
      </c>
      <c r="M114" s="94">
        <f t="shared" si="3"/>
        <v>0</v>
      </c>
      <c r="N114" s="94">
        <f t="shared" si="3"/>
        <v>0</v>
      </c>
      <c r="O114" s="94">
        <f t="shared" si="3"/>
        <v>0</v>
      </c>
      <c r="P114" s="94">
        <f t="shared" si="3"/>
        <v>0</v>
      </c>
      <c r="Q114" s="94">
        <f t="shared" si="3"/>
        <v>0</v>
      </c>
      <c r="R114" s="94">
        <f t="shared" si="3"/>
        <v>0</v>
      </c>
      <c r="S114" s="94">
        <f t="shared" si="3"/>
        <v>0</v>
      </c>
      <c r="T114" s="94">
        <f t="shared" si="3"/>
        <v>0</v>
      </c>
      <c r="U114" s="94">
        <f t="shared" si="3"/>
        <v>0</v>
      </c>
      <c r="V114" s="94">
        <f t="shared" si="3"/>
        <v>0</v>
      </c>
      <c r="W114" s="94">
        <f t="shared" si="3"/>
        <v>0</v>
      </c>
      <c r="X114" s="94">
        <f t="shared" si="3"/>
        <v>0</v>
      </c>
      <c r="Y114" s="94">
        <f t="shared" si="3"/>
        <v>0</v>
      </c>
      <c r="Z114" s="94">
        <f t="shared" si="3"/>
        <v>0</v>
      </c>
      <c r="AA114" s="94">
        <f t="shared" si="3"/>
        <v>0</v>
      </c>
      <c r="AB114" s="94">
        <f t="shared" si="3"/>
        <v>0</v>
      </c>
      <c r="AC114" s="94">
        <f t="shared" si="3"/>
        <v>0</v>
      </c>
      <c r="AD114" s="94">
        <f t="shared" si="3"/>
        <v>0</v>
      </c>
      <c r="AE114" s="94">
        <f t="shared" si="3"/>
        <v>0</v>
      </c>
      <c r="AF114" s="94">
        <f t="shared" si="3"/>
        <v>0</v>
      </c>
      <c r="AG114" s="94">
        <f t="shared" si="3"/>
        <v>0</v>
      </c>
      <c r="AH114" s="94">
        <f t="shared" si="3"/>
        <v>0</v>
      </c>
      <c r="AI114" s="207">
        <f t="shared" si="3"/>
        <v>0</v>
      </c>
    </row>
    <row r="115" spans="2:35" x14ac:dyDescent="0.2">
      <c r="B115" s="277" t="s">
        <v>464</v>
      </c>
      <c r="C115" s="21" t="s">
        <v>49</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6"/>
    </row>
    <row r="116" spans="2:35" x14ac:dyDescent="0.2">
      <c r="B116" s="20"/>
      <c r="C116" s="21" t="s">
        <v>49</v>
      </c>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6"/>
    </row>
    <row r="117" spans="2:35" x14ac:dyDescent="0.2">
      <c r="B117" s="20"/>
      <c r="C117" s="21"/>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6"/>
    </row>
    <row r="118" spans="2:35" x14ac:dyDescent="0.2">
      <c r="B118" s="20"/>
      <c r="C118" s="21"/>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6"/>
    </row>
    <row r="119" spans="2:35" x14ac:dyDescent="0.2">
      <c r="B119" s="20"/>
      <c r="C119" s="21"/>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6"/>
    </row>
    <row r="120" spans="2:35" x14ac:dyDescent="0.2">
      <c r="B120" s="279" t="s">
        <v>465</v>
      </c>
      <c r="C120" s="21"/>
      <c r="D120" s="9"/>
      <c r="E120" s="208"/>
      <c r="F120" s="208">
        <f>SUM(F115:F119)</f>
        <v>0</v>
      </c>
      <c r="G120" s="208">
        <f t="shared" ref="G120:AI120" si="4">SUM(G115:G119)</f>
        <v>0</v>
      </c>
      <c r="H120" s="208">
        <f t="shared" si="4"/>
        <v>0</v>
      </c>
      <c r="I120" s="208">
        <f t="shared" si="4"/>
        <v>0</v>
      </c>
      <c r="J120" s="208">
        <f t="shared" si="4"/>
        <v>0</v>
      </c>
      <c r="K120" s="208">
        <f t="shared" si="4"/>
        <v>0</v>
      </c>
      <c r="L120" s="208">
        <f t="shared" si="4"/>
        <v>0</v>
      </c>
      <c r="M120" s="208">
        <f t="shared" si="4"/>
        <v>0</v>
      </c>
      <c r="N120" s="208">
        <f t="shared" si="4"/>
        <v>0</v>
      </c>
      <c r="O120" s="208">
        <f t="shared" si="4"/>
        <v>0</v>
      </c>
      <c r="P120" s="208">
        <f t="shared" si="4"/>
        <v>0</v>
      </c>
      <c r="Q120" s="208">
        <f t="shared" si="4"/>
        <v>0</v>
      </c>
      <c r="R120" s="208">
        <f t="shared" si="4"/>
        <v>0</v>
      </c>
      <c r="S120" s="208">
        <f t="shared" si="4"/>
        <v>0</v>
      </c>
      <c r="T120" s="208">
        <f t="shared" si="4"/>
        <v>0</v>
      </c>
      <c r="U120" s="208">
        <f t="shared" si="4"/>
        <v>0</v>
      </c>
      <c r="V120" s="208">
        <f t="shared" si="4"/>
        <v>0</v>
      </c>
      <c r="W120" s="208">
        <f t="shared" si="4"/>
        <v>0</v>
      </c>
      <c r="X120" s="208">
        <f t="shared" si="4"/>
        <v>0</v>
      </c>
      <c r="Y120" s="208">
        <f t="shared" si="4"/>
        <v>0</v>
      </c>
      <c r="Z120" s="208">
        <f t="shared" si="4"/>
        <v>0</v>
      </c>
      <c r="AA120" s="208">
        <f t="shared" si="4"/>
        <v>0</v>
      </c>
      <c r="AB120" s="208">
        <f t="shared" si="4"/>
        <v>0</v>
      </c>
      <c r="AC120" s="208">
        <f t="shared" si="4"/>
        <v>0</v>
      </c>
      <c r="AD120" s="208">
        <f t="shared" si="4"/>
        <v>0</v>
      </c>
      <c r="AE120" s="208">
        <f t="shared" si="4"/>
        <v>0</v>
      </c>
      <c r="AF120" s="208">
        <f t="shared" si="4"/>
        <v>0</v>
      </c>
      <c r="AG120" s="208">
        <f t="shared" si="4"/>
        <v>0</v>
      </c>
      <c r="AH120" s="208">
        <f t="shared" si="4"/>
        <v>0</v>
      </c>
      <c r="AI120" s="209">
        <f t="shared" si="4"/>
        <v>0</v>
      </c>
    </row>
    <row r="121" spans="2:35" x14ac:dyDescent="0.2">
      <c r="B121" s="279" t="s">
        <v>466</v>
      </c>
      <c r="C121" s="9"/>
      <c r="E121" s="203" cm="1">
        <f t="array" ref="E121">e_debt_ratio*'1. Pathway 1'!E80</f>
        <v>0</v>
      </c>
      <c r="F121" s="203" cm="1">
        <f t="array" ref="F121">IF(F79&gt;e_ecolifetime_yr,0,E121*e_interestrate)</f>
        <v>0</v>
      </c>
      <c r="G121" s="203" cm="1">
        <f t="array" ref="G121">IF(G79&gt;e_ecolifetime_yr,0,($E$121-(F122*F79))*e_interestrate)</f>
        <v>0</v>
      </c>
      <c r="H121" s="203" cm="1">
        <f t="array" ref="H121">IF(H79&gt;e_ecolifetime_yr,0,($E$121-(G122*G79))*e_interestrate)</f>
        <v>0</v>
      </c>
      <c r="I121" s="203" cm="1">
        <f t="array" ref="I121">IF(I79&gt;e_ecolifetime_yr,0,($E$121-(H122*H79))*e_interestrate)</f>
        <v>0</v>
      </c>
      <c r="J121" s="203" cm="1">
        <f t="array" ref="J121">IF(J79&gt;e_ecolifetime_yr,0,($E$121-(I122*I79))*e_interestrate)</f>
        <v>0</v>
      </c>
      <c r="K121" s="203" cm="1">
        <f t="array" ref="K121">IF(K79&gt;e_ecolifetime_yr,0,($E$121-(J122*J79))*e_interestrate)</f>
        <v>0</v>
      </c>
      <c r="L121" s="203" cm="1">
        <f t="array" ref="L121">IF(L79&gt;e_ecolifetime_yr,0,($E$121-(K122*K79))*e_interestrate)</f>
        <v>0</v>
      </c>
      <c r="M121" s="203" cm="1">
        <f t="array" ref="M121">IF(M79&gt;e_ecolifetime_yr,0,($E$121-(L122*L79))*e_interestrate)</f>
        <v>0</v>
      </c>
      <c r="N121" s="203" cm="1">
        <f t="array" ref="N121">IF(N79&gt;e_ecolifetime_yr,0,($E$121-(M122*M79))*e_interestrate)</f>
        <v>0</v>
      </c>
      <c r="O121" s="203" cm="1">
        <f t="array" ref="O121">IF(O79&gt;e_ecolifetime_yr,0,($E$121-(N122*N79))*e_interestrate)</f>
        <v>0</v>
      </c>
      <c r="P121" s="203" cm="1">
        <f t="array" ref="P121">IF(P79&gt;e_ecolifetime_yr,0,($E$121-(O122*O79))*e_interestrate)</f>
        <v>0</v>
      </c>
      <c r="Q121" s="203" cm="1">
        <f t="array" ref="Q121">IF(Q79&gt;e_ecolifetime_yr,0,($E$121-(P122*P79))*e_interestrate)</f>
        <v>0</v>
      </c>
      <c r="R121" s="203" cm="1">
        <f t="array" ref="R121">IF(R79&gt;e_ecolifetime_yr,0,($E$121-(Q122*Q79))*e_interestrate)</f>
        <v>0</v>
      </c>
      <c r="S121" s="203" cm="1">
        <f t="array" ref="S121">IF(S79&gt;e_ecolifetime_yr,0,($E$121-(R122*R79))*e_interestrate)</f>
        <v>0</v>
      </c>
      <c r="T121" s="203" cm="1">
        <f t="array" ref="T121">IF(T79&gt;e_ecolifetime_yr,0,($E$121-(S122*S79))*e_interestrate)</f>
        <v>0</v>
      </c>
      <c r="U121" s="203" cm="1">
        <f t="array" ref="U121">IF(U79&gt;e_ecolifetime_yr,0,($E$121-(T122*T79))*e_interestrate)</f>
        <v>0</v>
      </c>
      <c r="V121" s="203" cm="1">
        <f t="array" ref="V121">IF(V79&gt;e_ecolifetime_yr,0,($E$121-(U122*U79))*e_interestrate)</f>
        <v>0</v>
      </c>
      <c r="W121" s="203" cm="1">
        <f t="array" ref="W121">IF(W79&gt;e_ecolifetime_yr,0,($E$121-(V122*V79))*e_interestrate)</f>
        <v>0</v>
      </c>
      <c r="X121" s="203" cm="1">
        <f t="array" ref="X121">IF(X79&gt;e_ecolifetime_yr,0,($E$121-(W122*W79))*e_interestrate)</f>
        <v>0</v>
      </c>
      <c r="Y121" s="203" cm="1">
        <f t="array" ref="Y121">IF(Y79&gt;e_ecolifetime_yr,0,($E$121-(X122*X79))*e_interestrate)</f>
        <v>0</v>
      </c>
      <c r="Z121" s="203" cm="1">
        <f t="array" ref="Z121">IF(Z79&gt;e_ecolifetime_yr,0,($E$121-(Y122*Y79))*e_interestrate)</f>
        <v>0</v>
      </c>
      <c r="AA121" s="203" cm="1">
        <f t="array" ref="AA121">IF(AA79&gt;e_ecolifetime_yr,0,($E$121-(Z122*Z79))*e_interestrate)</f>
        <v>0</v>
      </c>
      <c r="AB121" s="203" cm="1">
        <f t="array" ref="AB121">IF(AB79&gt;e_ecolifetime_yr,0,($E$121-(AA122*AA79))*e_interestrate)</f>
        <v>0</v>
      </c>
      <c r="AC121" s="203" cm="1">
        <f t="array" ref="AC121">IF(AC79&gt;e_ecolifetime_yr,0,($E$121-(AB122*AB79))*e_interestrate)</f>
        <v>0</v>
      </c>
      <c r="AD121" s="203" cm="1">
        <f t="array" ref="AD121">IF(AD79&gt;e_ecolifetime_yr,0,($E$121-(AC122*AC79))*e_interestrate)</f>
        <v>0</v>
      </c>
      <c r="AE121" s="203" cm="1">
        <f t="array" ref="AE121">IF(AE79&gt;e_ecolifetime_yr,0,($E$121-(AD122*AD79))*e_interestrate)</f>
        <v>0</v>
      </c>
      <c r="AF121" s="203" cm="1">
        <f t="array" ref="AF121">IF(AF79&gt;e_ecolifetime_yr,0,($E$121-(AE122*AE79))*e_interestrate)</f>
        <v>0</v>
      </c>
      <c r="AG121" s="203" cm="1">
        <f t="array" ref="AG121">IF(AG79&gt;e_ecolifetime_yr,0,($E$121-(AF122*AF79))*e_interestrate)</f>
        <v>0</v>
      </c>
      <c r="AH121" s="203" cm="1">
        <f t="array" ref="AH121">IF(AH79&gt;e_ecolifetime_yr,0,($E$121-(AG122*AG79))*e_interestrate)</f>
        <v>0</v>
      </c>
      <c r="AI121" s="206" cm="1">
        <f t="array" ref="AI121">IF(AI79&gt;e_ecolifetime_yr,0,($E$121-(AH122*AH79))*e_interestrate)</f>
        <v>0</v>
      </c>
    </row>
    <row r="122" spans="2:35" x14ac:dyDescent="0.2">
      <c r="B122" s="279" t="s">
        <v>467</v>
      </c>
      <c r="C122" s="9"/>
      <c r="E122" s="203"/>
      <c r="F122" s="203" cm="1">
        <f t="array" ref="F122">IF(F79&gt;e_ecolifetime_yr,0,$E$121/e_ecolifetime_yr)</f>
        <v>0</v>
      </c>
      <c r="G122" s="203" cm="1">
        <f t="array" ref="G122">IF(G79&gt;e_ecolifetime_yr,0,$E$121/e_ecolifetime_yr)</f>
        <v>0</v>
      </c>
      <c r="H122" s="203" cm="1">
        <f t="array" ref="H122">IF(H79&gt;e_ecolifetime_yr,0,$E$121/e_ecolifetime_yr)</f>
        <v>0</v>
      </c>
      <c r="I122" s="203" cm="1">
        <f t="array" ref="I122">IF(I79&gt;e_ecolifetime_yr,0,$E$121/e_ecolifetime_yr)</f>
        <v>0</v>
      </c>
      <c r="J122" s="203" cm="1">
        <f t="array" ref="J122">IF(J79&gt;e_ecolifetime_yr,0,$E$121/e_ecolifetime_yr)</f>
        <v>0</v>
      </c>
      <c r="K122" s="203" cm="1">
        <f t="array" ref="K122">IF(K79&gt;e_ecolifetime_yr,0,$E$121/e_ecolifetime_yr)</f>
        <v>0</v>
      </c>
      <c r="L122" s="203" cm="1">
        <f t="array" ref="L122">IF(L79&gt;e_ecolifetime_yr,0,$E$121/e_ecolifetime_yr)</f>
        <v>0</v>
      </c>
      <c r="M122" s="203" cm="1">
        <f t="array" ref="M122">IF(M79&gt;e_ecolifetime_yr,0,$E$121/e_ecolifetime_yr)</f>
        <v>0</v>
      </c>
      <c r="N122" s="203" cm="1">
        <f t="array" ref="N122">IF(N79&gt;e_ecolifetime_yr,0,$E$121/e_ecolifetime_yr)</f>
        <v>0</v>
      </c>
      <c r="O122" s="203" cm="1">
        <f t="array" ref="O122">IF(O79&gt;e_ecolifetime_yr,0,$E$121/e_ecolifetime_yr)</f>
        <v>0</v>
      </c>
      <c r="P122" s="203" cm="1">
        <f t="array" ref="P122">IF(P79&gt;e_ecolifetime_yr,0,$E$121/e_ecolifetime_yr)</f>
        <v>0</v>
      </c>
      <c r="Q122" s="203" cm="1">
        <f t="array" ref="Q122">IF(Q79&gt;e_ecolifetime_yr,0,$E$121/e_ecolifetime_yr)</f>
        <v>0</v>
      </c>
      <c r="R122" s="203" cm="1">
        <f t="array" ref="R122">IF(R79&gt;e_ecolifetime_yr,0,$E$121/e_ecolifetime_yr)</f>
        <v>0</v>
      </c>
      <c r="S122" s="203" cm="1">
        <f t="array" ref="S122">IF(S79&gt;e_ecolifetime_yr,0,$E$121/e_ecolifetime_yr)</f>
        <v>0</v>
      </c>
      <c r="T122" s="203" cm="1">
        <f t="array" ref="T122">IF(T79&gt;e_ecolifetime_yr,0,$E$121/e_ecolifetime_yr)</f>
        <v>0</v>
      </c>
      <c r="U122" s="203" cm="1">
        <f t="array" ref="U122">IF(U79&gt;e_ecolifetime_yr,0,$E$121/e_ecolifetime_yr)</f>
        <v>0</v>
      </c>
      <c r="V122" s="203" cm="1">
        <f t="array" ref="V122">IF(V79&gt;e_ecolifetime_yr,0,$E$121/e_ecolifetime_yr)</f>
        <v>0</v>
      </c>
      <c r="W122" s="203" cm="1">
        <f t="array" ref="W122">IF(W79&gt;e_ecolifetime_yr,0,$E$121/e_ecolifetime_yr)</f>
        <v>0</v>
      </c>
      <c r="X122" s="203" cm="1">
        <f t="array" ref="X122">IF(X79&gt;e_ecolifetime_yr,0,$E$121/e_ecolifetime_yr)</f>
        <v>0</v>
      </c>
      <c r="Y122" s="203" cm="1">
        <f t="array" ref="Y122">IF(Y79&gt;e_ecolifetime_yr,0,$E$121/e_ecolifetime_yr)</f>
        <v>0</v>
      </c>
      <c r="Z122" s="203" cm="1">
        <f t="array" ref="Z122">IF(Z79&gt;e_ecolifetime_yr,0,$E$121/e_ecolifetime_yr)</f>
        <v>0</v>
      </c>
      <c r="AA122" s="203" cm="1">
        <f t="array" ref="AA122">IF(AA79&gt;e_ecolifetime_yr,0,$E$121/e_ecolifetime_yr)</f>
        <v>0</v>
      </c>
      <c r="AB122" s="203" cm="1">
        <f t="array" ref="AB122">IF(AB79&gt;e_ecolifetime_yr,0,$E$121/e_ecolifetime_yr)</f>
        <v>0</v>
      </c>
      <c r="AC122" s="203" cm="1">
        <f t="array" ref="AC122">IF(AC79&gt;e_ecolifetime_yr,0,$E$121/e_ecolifetime_yr)</f>
        <v>0</v>
      </c>
      <c r="AD122" s="203" cm="1">
        <f t="array" ref="AD122">IF(AD79&gt;e_ecolifetime_yr,0,$E$121/e_ecolifetime_yr)</f>
        <v>0</v>
      </c>
      <c r="AE122" s="203" cm="1">
        <f t="array" ref="AE122">IF(AE79&gt;e_ecolifetime_yr,0,$E$121/e_ecolifetime_yr)</f>
        <v>0</v>
      </c>
      <c r="AF122" s="203" cm="1">
        <f t="array" ref="AF122">IF(AF79&gt;e_ecolifetime_yr,0,$E$121/e_ecolifetime_yr)</f>
        <v>0</v>
      </c>
      <c r="AG122" s="203" cm="1">
        <f t="array" ref="AG122">IF(AG79&gt;e_ecolifetime_yr,0,$E$121/e_ecolifetime_yr)</f>
        <v>0</v>
      </c>
      <c r="AH122" s="203" cm="1">
        <f t="array" ref="AH122">IF(AH79&gt;e_ecolifetime_yr,0,$E$121/e_ecolifetime_yr)</f>
        <v>0</v>
      </c>
      <c r="AI122" s="206" cm="1">
        <f t="array" ref="AI122">IF(AI79&gt;e_ecolifetime_yr,0,$E$121/e_ecolifetime_yr)</f>
        <v>0</v>
      </c>
    </row>
    <row r="123" spans="2:35" x14ac:dyDescent="0.2">
      <c r="B123" s="274" t="s">
        <v>468</v>
      </c>
      <c r="C123" s="47"/>
      <c r="D123" s="47"/>
      <c r="E123" s="212"/>
      <c r="F123" s="212">
        <f>IF(F114-F120&gt;0,F114-F120,0)</f>
        <v>0</v>
      </c>
      <c r="G123" s="212">
        <f t="shared" ref="G123:AI123" si="5">IF(G114-G120&gt;0,G114-G120,0)</f>
        <v>0</v>
      </c>
      <c r="H123" s="212">
        <f t="shared" si="5"/>
        <v>0</v>
      </c>
      <c r="I123" s="212">
        <f t="shared" si="5"/>
        <v>0</v>
      </c>
      <c r="J123" s="212">
        <f t="shared" si="5"/>
        <v>0</v>
      </c>
      <c r="K123" s="212">
        <f t="shared" si="5"/>
        <v>0</v>
      </c>
      <c r="L123" s="212">
        <f t="shared" si="5"/>
        <v>0</v>
      </c>
      <c r="M123" s="212">
        <f t="shared" si="5"/>
        <v>0</v>
      </c>
      <c r="N123" s="212">
        <f t="shared" si="5"/>
        <v>0</v>
      </c>
      <c r="O123" s="212">
        <f t="shared" si="5"/>
        <v>0</v>
      </c>
      <c r="P123" s="212">
        <f t="shared" si="5"/>
        <v>0</v>
      </c>
      <c r="Q123" s="212">
        <f t="shared" si="5"/>
        <v>0</v>
      </c>
      <c r="R123" s="212">
        <f t="shared" si="5"/>
        <v>0</v>
      </c>
      <c r="S123" s="212">
        <f t="shared" si="5"/>
        <v>0</v>
      </c>
      <c r="T123" s="212">
        <f t="shared" si="5"/>
        <v>0</v>
      </c>
      <c r="U123" s="212">
        <f t="shared" si="5"/>
        <v>0</v>
      </c>
      <c r="V123" s="212">
        <f t="shared" si="5"/>
        <v>0</v>
      </c>
      <c r="W123" s="212">
        <f t="shared" si="5"/>
        <v>0</v>
      </c>
      <c r="X123" s="212">
        <f t="shared" si="5"/>
        <v>0</v>
      </c>
      <c r="Y123" s="212">
        <f t="shared" si="5"/>
        <v>0</v>
      </c>
      <c r="Z123" s="212">
        <f t="shared" si="5"/>
        <v>0</v>
      </c>
      <c r="AA123" s="212">
        <f t="shared" si="5"/>
        <v>0</v>
      </c>
      <c r="AB123" s="212">
        <f t="shared" si="5"/>
        <v>0</v>
      </c>
      <c r="AC123" s="212">
        <f t="shared" si="5"/>
        <v>0</v>
      </c>
      <c r="AD123" s="212">
        <f t="shared" si="5"/>
        <v>0</v>
      </c>
      <c r="AE123" s="212">
        <f t="shared" si="5"/>
        <v>0</v>
      </c>
      <c r="AF123" s="212">
        <f t="shared" si="5"/>
        <v>0</v>
      </c>
      <c r="AG123" s="212">
        <f t="shared" si="5"/>
        <v>0</v>
      </c>
      <c r="AH123" s="212">
        <f t="shared" si="5"/>
        <v>0</v>
      </c>
      <c r="AI123" s="213">
        <f t="shared" si="5"/>
        <v>0</v>
      </c>
    </row>
    <row r="124" spans="2:35" x14ac:dyDescent="0.2">
      <c r="B124" s="279" t="s">
        <v>469</v>
      </c>
      <c r="C124" s="9"/>
      <c r="D124" s="9"/>
      <c r="E124" s="208"/>
      <c r="F124" s="208">
        <f>F114-F121-F122</f>
        <v>0</v>
      </c>
      <c r="G124" s="208">
        <f t="shared" ref="G124:AI124" si="6">G114-G121-G122</f>
        <v>0</v>
      </c>
      <c r="H124" s="208">
        <f t="shared" si="6"/>
        <v>0</v>
      </c>
      <c r="I124" s="208">
        <f t="shared" si="6"/>
        <v>0</v>
      </c>
      <c r="J124" s="208">
        <f t="shared" si="6"/>
        <v>0</v>
      </c>
      <c r="K124" s="208">
        <f t="shared" si="6"/>
        <v>0</v>
      </c>
      <c r="L124" s="208">
        <f t="shared" si="6"/>
        <v>0</v>
      </c>
      <c r="M124" s="208">
        <f t="shared" si="6"/>
        <v>0</v>
      </c>
      <c r="N124" s="208">
        <f t="shared" si="6"/>
        <v>0</v>
      </c>
      <c r="O124" s="208">
        <f t="shared" si="6"/>
        <v>0</v>
      </c>
      <c r="P124" s="208">
        <f t="shared" si="6"/>
        <v>0</v>
      </c>
      <c r="Q124" s="208">
        <f t="shared" si="6"/>
        <v>0</v>
      </c>
      <c r="R124" s="208">
        <f t="shared" si="6"/>
        <v>0</v>
      </c>
      <c r="S124" s="208">
        <f t="shared" si="6"/>
        <v>0</v>
      </c>
      <c r="T124" s="208">
        <f t="shared" si="6"/>
        <v>0</v>
      </c>
      <c r="U124" s="208">
        <f t="shared" si="6"/>
        <v>0</v>
      </c>
      <c r="V124" s="208">
        <f t="shared" si="6"/>
        <v>0</v>
      </c>
      <c r="W124" s="208">
        <f t="shared" si="6"/>
        <v>0</v>
      </c>
      <c r="X124" s="208">
        <f t="shared" si="6"/>
        <v>0</v>
      </c>
      <c r="Y124" s="208">
        <f t="shared" si="6"/>
        <v>0</v>
      </c>
      <c r="Z124" s="208">
        <f t="shared" si="6"/>
        <v>0</v>
      </c>
      <c r="AA124" s="208">
        <f t="shared" si="6"/>
        <v>0</v>
      </c>
      <c r="AB124" s="208">
        <f t="shared" si="6"/>
        <v>0</v>
      </c>
      <c r="AC124" s="208">
        <f t="shared" si="6"/>
        <v>0</v>
      </c>
      <c r="AD124" s="208">
        <f t="shared" si="6"/>
        <v>0</v>
      </c>
      <c r="AE124" s="208">
        <f t="shared" si="6"/>
        <v>0</v>
      </c>
      <c r="AF124" s="208">
        <f t="shared" si="6"/>
        <v>0</v>
      </c>
      <c r="AG124" s="208">
        <f t="shared" si="6"/>
        <v>0</v>
      </c>
      <c r="AH124" s="208">
        <f t="shared" si="6"/>
        <v>0</v>
      </c>
      <c r="AI124" s="209">
        <f t="shared" si="6"/>
        <v>0</v>
      </c>
    </row>
    <row r="125" spans="2:35" x14ac:dyDescent="0.2">
      <c r="B125" s="276" t="s">
        <v>470</v>
      </c>
      <c r="C125" s="11"/>
      <c r="D125" s="7"/>
      <c r="E125" s="95"/>
      <c r="F125" s="95" cm="1">
        <f t="array" ref="F125">F123*e_taxrate_BE</f>
        <v>0</v>
      </c>
      <c r="G125" s="95" cm="1">
        <f t="array" ref="G125">G123*e_taxrate_BE</f>
        <v>0</v>
      </c>
      <c r="H125" s="95" cm="1">
        <f t="array" ref="H125">H123*e_taxrate_BE</f>
        <v>0</v>
      </c>
      <c r="I125" s="95" cm="1">
        <f t="array" ref="I125">I123*e_taxrate_BE</f>
        <v>0</v>
      </c>
      <c r="J125" s="95" cm="1">
        <f t="array" ref="J125">J123*e_taxrate_BE</f>
        <v>0</v>
      </c>
      <c r="K125" s="95" cm="1">
        <f t="array" ref="K125">K123*e_taxrate_BE</f>
        <v>0</v>
      </c>
      <c r="L125" s="95" cm="1">
        <f t="array" ref="L125">L123*e_taxrate_BE</f>
        <v>0</v>
      </c>
      <c r="M125" s="95" cm="1">
        <f t="array" ref="M125">M123*e_taxrate_BE</f>
        <v>0</v>
      </c>
      <c r="N125" s="95" cm="1">
        <f t="array" ref="N125">N123*e_taxrate_BE</f>
        <v>0</v>
      </c>
      <c r="O125" s="95" cm="1">
        <f t="array" ref="O125">O123*e_taxrate_BE</f>
        <v>0</v>
      </c>
      <c r="P125" s="95" cm="1">
        <f t="array" ref="P125">P123*e_taxrate_BE</f>
        <v>0</v>
      </c>
      <c r="Q125" s="95" cm="1">
        <f t="array" ref="Q125">Q123*e_taxrate_BE</f>
        <v>0</v>
      </c>
      <c r="R125" s="95" cm="1">
        <f t="array" ref="R125">R123*e_taxrate_BE</f>
        <v>0</v>
      </c>
      <c r="S125" s="95" cm="1">
        <f t="array" ref="S125">S123*e_taxrate_BE</f>
        <v>0</v>
      </c>
      <c r="T125" s="95" cm="1">
        <f t="array" ref="T125">T123*e_taxrate_BE</f>
        <v>0</v>
      </c>
      <c r="U125" s="95" cm="1">
        <f t="array" ref="U125">U123*e_taxrate_BE</f>
        <v>0</v>
      </c>
      <c r="V125" s="95" cm="1">
        <f t="array" ref="V125">V123*e_taxrate_BE</f>
        <v>0</v>
      </c>
      <c r="W125" s="95" cm="1">
        <f t="array" ref="W125">W123*e_taxrate_BE</f>
        <v>0</v>
      </c>
      <c r="X125" s="95" cm="1">
        <f t="array" ref="X125">X123*e_taxrate_BE</f>
        <v>0</v>
      </c>
      <c r="Y125" s="95" cm="1">
        <f t="array" ref="Y125">Y123*e_taxrate_BE</f>
        <v>0</v>
      </c>
      <c r="Z125" s="95" cm="1">
        <f t="array" ref="Z125">Z123*e_taxrate_BE</f>
        <v>0</v>
      </c>
      <c r="AA125" s="95" cm="1">
        <f t="array" ref="AA125">AA123*e_taxrate_BE</f>
        <v>0</v>
      </c>
      <c r="AB125" s="95" cm="1">
        <f t="array" ref="AB125">AB123*e_taxrate_BE</f>
        <v>0</v>
      </c>
      <c r="AC125" s="95" cm="1">
        <f t="array" ref="AC125">AC123*e_taxrate_BE</f>
        <v>0</v>
      </c>
      <c r="AD125" s="95" cm="1">
        <f t="array" ref="AD125">AD123*e_taxrate_BE</f>
        <v>0</v>
      </c>
      <c r="AE125" s="95" cm="1">
        <f t="array" ref="AE125">AE123*e_taxrate_BE</f>
        <v>0</v>
      </c>
      <c r="AF125" s="95" cm="1">
        <f t="array" ref="AF125">AF123*e_taxrate_BE</f>
        <v>0</v>
      </c>
      <c r="AG125" s="95" cm="1">
        <f t="array" ref="AG125">AG123*e_taxrate_BE</f>
        <v>0</v>
      </c>
      <c r="AH125" s="95" cm="1">
        <f t="array" ref="AH125">AH123*e_taxrate_BE</f>
        <v>0</v>
      </c>
      <c r="AI125" s="210" cm="1">
        <f t="array" ref="AI125">AI123*e_taxrate_BE</f>
        <v>0</v>
      </c>
    </row>
    <row r="126" spans="2:35" x14ac:dyDescent="0.2">
      <c r="B126" s="279" t="s">
        <v>471</v>
      </c>
      <c r="C126" s="9"/>
      <c r="D126" s="9"/>
      <c r="E126" s="208">
        <f>-E80+E121</f>
        <v>0</v>
      </c>
      <c r="F126" s="208">
        <f>IF(F124&gt;0,F124-F125,F124)</f>
        <v>0</v>
      </c>
      <c r="G126" s="208">
        <f t="shared" ref="G126:AI126" si="7">IF(G124&gt;0,G124-G125,G124)</f>
        <v>0</v>
      </c>
      <c r="H126" s="208">
        <f t="shared" si="7"/>
        <v>0</v>
      </c>
      <c r="I126" s="208">
        <f t="shared" si="7"/>
        <v>0</v>
      </c>
      <c r="J126" s="208">
        <f t="shared" si="7"/>
        <v>0</v>
      </c>
      <c r="K126" s="208">
        <f t="shared" si="7"/>
        <v>0</v>
      </c>
      <c r="L126" s="208">
        <f t="shared" si="7"/>
        <v>0</v>
      </c>
      <c r="M126" s="208">
        <f t="shared" si="7"/>
        <v>0</v>
      </c>
      <c r="N126" s="208">
        <f t="shared" si="7"/>
        <v>0</v>
      </c>
      <c r="O126" s="208">
        <f t="shared" si="7"/>
        <v>0</v>
      </c>
      <c r="P126" s="208">
        <f t="shared" si="7"/>
        <v>0</v>
      </c>
      <c r="Q126" s="208">
        <f t="shared" si="7"/>
        <v>0</v>
      </c>
      <c r="R126" s="208">
        <f t="shared" si="7"/>
        <v>0</v>
      </c>
      <c r="S126" s="208">
        <f t="shared" si="7"/>
        <v>0</v>
      </c>
      <c r="T126" s="208">
        <f t="shared" si="7"/>
        <v>0</v>
      </c>
      <c r="U126" s="208">
        <f t="shared" si="7"/>
        <v>0</v>
      </c>
      <c r="V126" s="208">
        <f t="shared" si="7"/>
        <v>0</v>
      </c>
      <c r="W126" s="208">
        <f t="shared" si="7"/>
        <v>0</v>
      </c>
      <c r="X126" s="208">
        <f t="shared" si="7"/>
        <v>0</v>
      </c>
      <c r="Y126" s="208">
        <f t="shared" si="7"/>
        <v>0</v>
      </c>
      <c r="Z126" s="208">
        <f t="shared" si="7"/>
        <v>0</v>
      </c>
      <c r="AA126" s="208">
        <f t="shared" si="7"/>
        <v>0</v>
      </c>
      <c r="AB126" s="208">
        <f t="shared" si="7"/>
        <v>0</v>
      </c>
      <c r="AC126" s="208">
        <f t="shared" si="7"/>
        <v>0</v>
      </c>
      <c r="AD126" s="208">
        <f t="shared" si="7"/>
        <v>0</v>
      </c>
      <c r="AE126" s="208">
        <f t="shared" si="7"/>
        <v>0</v>
      </c>
      <c r="AF126" s="208">
        <f t="shared" si="7"/>
        <v>0</v>
      </c>
      <c r="AG126" s="208">
        <f t="shared" si="7"/>
        <v>0</v>
      </c>
      <c r="AH126" s="208">
        <f t="shared" si="7"/>
        <v>0</v>
      </c>
      <c r="AI126" s="209">
        <f t="shared" si="7"/>
        <v>0</v>
      </c>
    </row>
    <row r="127" spans="2:35" x14ac:dyDescent="0.2">
      <c r="B127" s="276" t="s">
        <v>472</v>
      </c>
      <c r="C127" s="11"/>
      <c r="D127" s="7"/>
      <c r="E127" s="95"/>
      <c r="F127" s="95" cm="1">
        <f t="array" ref="F127">F126/(1+e_WACC)^F79</f>
        <v>0</v>
      </c>
      <c r="G127" s="95" cm="1">
        <f t="array" ref="G127">G126/(1+e_WACC)^G79</f>
        <v>0</v>
      </c>
      <c r="H127" s="95" cm="1">
        <f t="array" ref="H127">H126/(1+e_WACC)^H79</f>
        <v>0</v>
      </c>
      <c r="I127" s="95" cm="1">
        <f t="array" ref="I127">I126/(1+e_WACC)^I79</f>
        <v>0</v>
      </c>
      <c r="J127" s="95" cm="1">
        <f t="array" ref="J127">J126/(1+e_WACC)^J79</f>
        <v>0</v>
      </c>
      <c r="K127" s="95" cm="1">
        <f t="array" ref="K127">K126/(1+e_WACC)^K79</f>
        <v>0</v>
      </c>
      <c r="L127" s="95" cm="1">
        <f t="array" ref="L127">L126/(1+e_WACC)^L79</f>
        <v>0</v>
      </c>
      <c r="M127" s="95" cm="1">
        <f t="array" ref="M127">M126/(1+e_WACC)^M79</f>
        <v>0</v>
      </c>
      <c r="N127" s="95" cm="1">
        <f t="array" ref="N127">N126/(1+e_WACC)^N79</f>
        <v>0</v>
      </c>
      <c r="O127" s="95" cm="1">
        <f t="array" ref="O127">O126/(1+e_WACC)^O79</f>
        <v>0</v>
      </c>
      <c r="P127" s="95" cm="1">
        <f t="array" ref="P127">P126/(1+e_WACC)^P79</f>
        <v>0</v>
      </c>
      <c r="Q127" s="95" cm="1">
        <f t="array" ref="Q127">Q126/(1+e_WACC)^Q79</f>
        <v>0</v>
      </c>
      <c r="R127" s="95" cm="1">
        <f t="array" ref="R127">R126/(1+e_WACC)^R79</f>
        <v>0</v>
      </c>
      <c r="S127" s="95" cm="1">
        <f t="array" ref="S127">S126/(1+e_WACC)^S79</f>
        <v>0</v>
      </c>
      <c r="T127" s="95" cm="1">
        <f t="array" ref="T127">T126/(1+e_WACC)^T79</f>
        <v>0</v>
      </c>
      <c r="U127" s="95" cm="1">
        <f t="array" ref="U127">U126/(1+e_WACC)^U79</f>
        <v>0</v>
      </c>
      <c r="V127" s="95" cm="1">
        <f t="array" ref="V127">V126/(1+e_WACC)^V79</f>
        <v>0</v>
      </c>
      <c r="W127" s="95" cm="1">
        <f t="array" ref="W127">W126/(1+e_WACC)^W79</f>
        <v>0</v>
      </c>
      <c r="X127" s="95" cm="1">
        <f t="array" ref="X127">X126/(1+e_WACC)^X79</f>
        <v>0</v>
      </c>
      <c r="Y127" s="95" cm="1">
        <f t="array" ref="Y127">Y126/(1+e_WACC)^Y79</f>
        <v>0</v>
      </c>
      <c r="Z127" s="95" cm="1">
        <f t="array" ref="Z127">Z126/(1+e_WACC)^Z79</f>
        <v>0</v>
      </c>
      <c r="AA127" s="95" cm="1">
        <f t="array" ref="AA127">AA126/(1+e_WACC)^AA79</f>
        <v>0</v>
      </c>
      <c r="AB127" s="95" cm="1">
        <f t="array" ref="AB127">AB126/(1+e_WACC)^AB79</f>
        <v>0</v>
      </c>
      <c r="AC127" s="95" cm="1">
        <f t="array" ref="AC127">AC126/(1+e_WACC)^AC79</f>
        <v>0</v>
      </c>
      <c r="AD127" s="95" cm="1">
        <f t="array" ref="AD127">AD126/(1+e_WACC)^AD79</f>
        <v>0</v>
      </c>
      <c r="AE127" s="95" cm="1">
        <f t="array" ref="AE127">AE126/(1+e_WACC)^AE79</f>
        <v>0</v>
      </c>
      <c r="AF127" s="95" cm="1">
        <f t="array" ref="AF127">AF126/(1+e_WACC)^AF79</f>
        <v>0</v>
      </c>
      <c r="AG127" s="95" cm="1">
        <f t="array" ref="AG127">AG126/(1+e_WACC)^AG79</f>
        <v>0</v>
      </c>
      <c r="AH127" s="95" cm="1">
        <f t="array" ref="AH127">AH126/(1+e_WACC)^AH79</f>
        <v>0</v>
      </c>
      <c r="AI127" s="210" cm="1">
        <f t="array" ref="AI127">AI126/(1+e_WACC)^AI79</f>
        <v>0</v>
      </c>
    </row>
    <row r="128" spans="2:35" x14ac:dyDescent="0.2">
      <c r="B128" s="279" t="s">
        <v>473</v>
      </c>
      <c r="C128" s="9"/>
      <c r="E128" s="203"/>
      <c r="F128" s="203">
        <f>E126+F126</f>
        <v>0</v>
      </c>
      <c r="G128" s="203">
        <f>F128+G126</f>
        <v>0</v>
      </c>
      <c r="H128" s="203">
        <f>G128+H126</f>
        <v>0</v>
      </c>
      <c r="I128" s="203">
        <f t="shared" ref="I128:AI128" si="8">H128+I126</f>
        <v>0</v>
      </c>
      <c r="J128" s="203">
        <f t="shared" si="8"/>
        <v>0</v>
      </c>
      <c r="K128" s="203">
        <f t="shared" si="8"/>
        <v>0</v>
      </c>
      <c r="L128" s="203">
        <f t="shared" si="8"/>
        <v>0</v>
      </c>
      <c r="M128" s="203">
        <f t="shared" si="8"/>
        <v>0</v>
      </c>
      <c r="N128" s="203">
        <f t="shared" si="8"/>
        <v>0</v>
      </c>
      <c r="O128" s="203">
        <f t="shared" si="8"/>
        <v>0</v>
      </c>
      <c r="P128" s="203">
        <f t="shared" si="8"/>
        <v>0</v>
      </c>
      <c r="Q128" s="203">
        <f t="shared" si="8"/>
        <v>0</v>
      </c>
      <c r="R128" s="203">
        <f t="shared" si="8"/>
        <v>0</v>
      </c>
      <c r="S128" s="203">
        <f t="shared" si="8"/>
        <v>0</v>
      </c>
      <c r="T128" s="203">
        <f t="shared" si="8"/>
        <v>0</v>
      </c>
      <c r="U128" s="203">
        <f t="shared" si="8"/>
        <v>0</v>
      </c>
      <c r="V128" s="203">
        <f t="shared" si="8"/>
        <v>0</v>
      </c>
      <c r="W128" s="203">
        <f t="shared" si="8"/>
        <v>0</v>
      </c>
      <c r="X128" s="203">
        <f t="shared" si="8"/>
        <v>0</v>
      </c>
      <c r="Y128" s="203">
        <f t="shared" si="8"/>
        <v>0</v>
      </c>
      <c r="Z128" s="203">
        <f t="shared" si="8"/>
        <v>0</v>
      </c>
      <c r="AA128" s="203">
        <f t="shared" si="8"/>
        <v>0</v>
      </c>
      <c r="AB128" s="203">
        <f t="shared" si="8"/>
        <v>0</v>
      </c>
      <c r="AC128" s="203">
        <f t="shared" si="8"/>
        <v>0</v>
      </c>
      <c r="AD128" s="203">
        <f t="shared" si="8"/>
        <v>0</v>
      </c>
      <c r="AE128" s="203">
        <f t="shared" si="8"/>
        <v>0</v>
      </c>
      <c r="AF128" s="203">
        <f t="shared" si="8"/>
        <v>0</v>
      </c>
      <c r="AG128" s="203">
        <f t="shared" si="8"/>
        <v>0</v>
      </c>
      <c r="AH128" s="203">
        <f t="shared" si="8"/>
        <v>0</v>
      </c>
      <c r="AI128" s="206">
        <f t="shared" si="8"/>
        <v>0</v>
      </c>
    </row>
    <row r="129" spans="2:35" x14ac:dyDescent="0.2">
      <c r="B129" s="279" t="s">
        <v>474</v>
      </c>
      <c r="C129" s="9"/>
      <c r="E129" s="203"/>
      <c r="F129" s="203">
        <f>E126+F127</f>
        <v>0</v>
      </c>
      <c r="G129" s="203">
        <f>F129+G127</f>
        <v>0</v>
      </c>
      <c r="H129" s="203">
        <f>G129+H127</f>
        <v>0</v>
      </c>
      <c r="I129" s="203">
        <f t="shared" ref="I129:AI129" si="9">H129+I127</f>
        <v>0</v>
      </c>
      <c r="J129" s="203">
        <f t="shared" si="9"/>
        <v>0</v>
      </c>
      <c r="K129" s="203">
        <f t="shared" si="9"/>
        <v>0</v>
      </c>
      <c r="L129" s="203">
        <f t="shared" si="9"/>
        <v>0</v>
      </c>
      <c r="M129" s="203">
        <f t="shared" si="9"/>
        <v>0</v>
      </c>
      <c r="N129" s="203">
        <f t="shared" si="9"/>
        <v>0</v>
      </c>
      <c r="O129" s="203">
        <f t="shared" si="9"/>
        <v>0</v>
      </c>
      <c r="P129" s="203">
        <f t="shared" si="9"/>
        <v>0</v>
      </c>
      <c r="Q129" s="203">
        <f t="shared" si="9"/>
        <v>0</v>
      </c>
      <c r="R129" s="203">
        <f t="shared" si="9"/>
        <v>0</v>
      </c>
      <c r="S129" s="203">
        <f t="shared" si="9"/>
        <v>0</v>
      </c>
      <c r="T129" s="203">
        <f t="shared" si="9"/>
        <v>0</v>
      </c>
      <c r="U129" s="203">
        <f t="shared" si="9"/>
        <v>0</v>
      </c>
      <c r="V129" s="203">
        <f t="shared" si="9"/>
        <v>0</v>
      </c>
      <c r="W129" s="203">
        <f t="shared" si="9"/>
        <v>0</v>
      </c>
      <c r="X129" s="203">
        <f t="shared" si="9"/>
        <v>0</v>
      </c>
      <c r="Y129" s="203">
        <f t="shared" si="9"/>
        <v>0</v>
      </c>
      <c r="Z129" s="203">
        <f t="shared" si="9"/>
        <v>0</v>
      </c>
      <c r="AA129" s="203">
        <f t="shared" si="9"/>
        <v>0</v>
      </c>
      <c r="AB129" s="203">
        <f t="shared" si="9"/>
        <v>0</v>
      </c>
      <c r="AC129" s="203">
        <f t="shared" si="9"/>
        <v>0</v>
      </c>
      <c r="AD129" s="203">
        <f t="shared" si="9"/>
        <v>0</v>
      </c>
      <c r="AE129" s="203">
        <f t="shared" si="9"/>
        <v>0</v>
      </c>
      <c r="AF129" s="203">
        <f t="shared" si="9"/>
        <v>0</v>
      </c>
      <c r="AG129" s="203">
        <f t="shared" si="9"/>
        <v>0</v>
      </c>
      <c r="AH129" s="203">
        <f t="shared" si="9"/>
        <v>0</v>
      </c>
      <c r="AI129" s="206">
        <f t="shared" si="9"/>
        <v>0</v>
      </c>
    </row>
    <row r="130" spans="2:35" x14ac:dyDescent="0.2">
      <c r="B130" s="279" t="s">
        <v>190</v>
      </c>
      <c r="C130" s="9"/>
      <c r="F130" s="1" t="e">
        <f>IF(F128&lt;0,1,-E126/F126)</f>
        <v>#DIV/0!</v>
      </c>
      <c r="G130" s="1" t="e">
        <f>IF(G128&lt;0,1,-F128/G126)</f>
        <v>#DIV/0!</v>
      </c>
      <c r="H130" s="1" t="e">
        <f>IF(H128&lt;0,1,-G128/H126)</f>
        <v>#DIV/0!</v>
      </c>
      <c r="I130" s="1" t="e">
        <f t="shared" ref="I130:AI130" si="10">IF(I128&lt;0,1,-H128/I126)</f>
        <v>#DIV/0!</v>
      </c>
      <c r="J130" s="1" t="e">
        <f t="shared" si="10"/>
        <v>#DIV/0!</v>
      </c>
      <c r="K130" s="1" t="e">
        <f t="shared" si="10"/>
        <v>#DIV/0!</v>
      </c>
      <c r="L130" s="1" t="e">
        <f t="shared" si="10"/>
        <v>#DIV/0!</v>
      </c>
      <c r="M130" s="1" t="e">
        <f t="shared" si="10"/>
        <v>#DIV/0!</v>
      </c>
      <c r="N130" s="1" t="e">
        <f t="shared" si="10"/>
        <v>#DIV/0!</v>
      </c>
      <c r="O130" s="1" t="e">
        <f t="shared" si="10"/>
        <v>#DIV/0!</v>
      </c>
      <c r="P130" s="1" t="e">
        <f t="shared" si="10"/>
        <v>#DIV/0!</v>
      </c>
      <c r="Q130" s="1" t="e">
        <f t="shared" si="10"/>
        <v>#DIV/0!</v>
      </c>
      <c r="R130" s="1" t="e">
        <f t="shared" si="10"/>
        <v>#DIV/0!</v>
      </c>
      <c r="S130" s="1" t="e">
        <f t="shared" si="10"/>
        <v>#DIV/0!</v>
      </c>
      <c r="T130" s="1" t="e">
        <f t="shared" si="10"/>
        <v>#DIV/0!</v>
      </c>
      <c r="U130" s="1" t="e">
        <f t="shared" si="10"/>
        <v>#DIV/0!</v>
      </c>
      <c r="V130" s="1" t="e">
        <f t="shared" si="10"/>
        <v>#DIV/0!</v>
      </c>
      <c r="W130" s="1" t="e">
        <f t="shared" si="10"/>
        <v>#DIV/0!</v>
      </c>
      <c r="X130" s="1" t="e">
        <f t="shared" si="10"/>
        <v>#DIV/0!</v>
      </c>
      <c r="Y130" s="1" t="e">
        <f t="shared" si="10"/>
        <v>#DIV/0!</v>
      </c>
      <c r="Z130" s="1" t="e">
        <f t="shared" si="10"/>
        <v>#DIV/0!</v>
      </c>
      <c r="AA130" s="1" t="e">
        <f t="shared" si="10"/>
        <v>#DIV/0!</v>
      </c>
      <c r="AB130" s="1" t="e">
        <f t="shared" si="10"/>
        <v>#DIV/0!</v>
      </c>
      <c r="AC130" s="1" t="e">
        <f t="shared" si="10"/>
        <v>#DIV/0!</v>
      </c>
      <c r="AD130" s="1" t="e">
        <f t="shared" si="10"/>
        <v>#DIV/0!</v>
      </c>
      <c r="AE130" s="1" t="e">
        <f t="shared" si="10"/>
        <v>#DIV/0!</v>
      </c>
      <c r="AF130" s="1" t="e">
        <f t="shared" si="10"/>
        <v>#DIV/0!</v>
      </c>
      <c r="AG130" s="1" t="e">
        <f t="shared" si="10"/>
        <v>#DIV/0!</v>
      </c>
      <c r="AH130" s="1" t="e">
        <f t="shared" si="10"/>
        <v>#DIV/0!</v>
      </c>
      <c r="AI130" s="48" t="e">
        <f t="shared" si="10"/>
        <v>#DIV/0!</v>
      </c>
    </row>
    <row r="131" spans="2:35" x14ac:dyDescent="0.2">
      <c r="B131" s="276" t="s">
        <v>192</v>
      </c>
      <c r="C131" s="11"/>
      <c r="D131" s="7"/>
      <c r="E131" s="7"/>
      <c r="F131" s="7" t="e">
        <f>IF(F129&lt;0,1,-E126/F127)</f>
        <v>#DIV/0!</v>
      </c>
      <c r="G131" s="7" t="e">
        <f>IF(G129&lt;0,1,-F129/G127)</f>
        <v>#DIV/0!</v>
      </c>
      <c r="H131" s="7" t="e">
        <f>IF(H129&lt;0,1,-G129/H127)</f>
        <v>#DIV/0!</v>
      </c>
      <c r="I131" s="7" t="e">
        <f t="shared" ref="I131:AI131" si="11">IF(I129&lt;0,1,-H129/I127)</f>
        <v>#DIV/0!</v>
      </c>
      <c r="J131" s="7" t="e">
        <f t="shared" si="11"/>
        <v>#DIV/0!</v>
      </c>
      <c r="K131" s="7" t="e">
        <f t="shared" si="11"/>
        <v>#DIV/0!</v>
      </c>
      <c r="L131" s="7" t="e">
        <f t="shared" si="11"/>
        <v>#DIV/0!</v>
      </c>
      <c r="M131" s="7" t="e">
        <f t="shared" si="11"/>
        <v>#DIV/0!</v>
      </c>
      <c r="N131" s="7" t="e">
        <f t="shared" si="11"/>
        <v>#DIV/0!</v>
      </c>
      <c r="O131" s="7" t="e">
        <f t="shared" si="11"/>
        <v>#DIV/0!</v>
      </c>
      <c r="P131" s="7" t="e">
        <f t="shared" si="11"/>
        <v>#DIV/0!</v>
      </c>
      <c r="Q131" s="7" t="e">
        <f t="shared" si="11"/>
        <v>#DIV/0!</v>
      </c>
      <c r="R131" s="7" t="e">
        <f t="shared" si="11"/>
        <v>#DIV/0!</v>
      </c>
      <c r="S131" s="7" t="e">
        <f t="shared" si="11"/>
        <v>#DIV/0!</v>
      </c>
      <c r="T131" s="7" t="e">
        <f t="shared" si="11"/>
        <v>#DIV/0!</v>
      </c>
      <c r="U131" s="7" t="e">
        <f t="shared" si="11"/>
        <v>#DIV/0!</v>
      </c>
      <c r="V131" s="7" t="e">
        <f t="shared" si="11"/>
        <v>#DIV/0!</v>
      </c>
      <c r="W131" s="7" t="e">
        <f t="shared" si="11"/>
        <v>#DIV/0!</v>
      </c>
      <c r="X131" s="7" t="e">
        <f t="shared" si="11"/>
        <v>#DIV/0!</v>
      </c>
      <c r="Y131" s="7" t="e">
        <f t="shared" si="11"/>
        <v>#DIV/0!</v>
      </c>
      <c r="Z131" s="7" t="e">
        <f t="shared" si="11"/>
        <v>#DIV/0!</v>
      </c>
      <c r="AA131" s="7" t="e">
        <f t="shared" si="11"/>
        <v>#DIV/0!</v>
      </c>
      <c r="AB131" s="7" t="e">
        <f t="shared" si="11"/>
        <v>#DIV/0!</v>
      </c>
      <c r="AC131" s="7" t="e">
        <f t="shared" si="11"/>
        <v>#DIV/0!</v>
      </c>
      <c r="AD131" s="7" t="e">
        <f t="shared" si="11"/>
        <v>#DIV/0!</v>
      </c>
      <c r="AE131" s="7" t="e">
        <f t="shared" si="11"/>
        <v>#DIV/0!</v>
      </c>
      <c r="AF131" s="7" t="e">
        <f t="shared" si="11"/>
        <v>#DIV/0!</v>
      </c>
      <c r="AG131" s="7" t="e">
        <f t="shared" si="11"/>
        <v>#DIV/0!</v>
      </c>
      <c r="AH131" s="7" t="e">
        <f t="shared" si="11"/>
        <v>#DIV/0!</v>
      </c>
      <c r="AI131" s="49" t="e">
        <f t="shared" si="11"/>
        <v>#DIV/0!</v>
      </c>
    </row>
    <row r="134" spans="2:35" x14ac:dyDescent="0.2">
      <c r="B134" s="10" t="s">
        <v>475</v>
      </c>
      <c r="C134" s="170" t="s">
        <v>157</v>
      </c>
      <c r="D134" s="179" t="s">
        <v>434</v>
      </c>
    </row>
    <row r="135" spans="2:35" x14ac:dyDescent="0.2">
      <c r="B135" s="47" t="s">
        <v>188</v>
      </c>
      <c r="C135" s="2" t="s">
        <v>184</v>
      </c>
      <c r="D135" s="173">
        <f>NPV(e_WACC,F126:AI126)+E126</f>
        <v>0</v>
      </c>
    </row>
    <row r="136" spans="2:35" x14ac:dyDescent="0.2">
      <c r="B136" s="9" t="s">
        <v>189</v>
      </c>
      <c r="C136" s="2" t="s">
        <v>177</v>
      </c>
      <c r="D136" s="96" t="e">
        <f>IRR(E126:AI126)</f>
        <v>#NUM!</v>
      </c>
    </row>
    <row r="137" spans="2:35" x14ac:dyDescent="0.2">
      <c r="B137" s="9" t="s">
        <v>190</v>
      </c>
      <c r="C137" s="2" t="s">
        <v>191</v>
      </c>
      <c r="D137" s="97">
        <f>SUMIF(F130:AI130,"&gt;0")-SUMIF(F130:AI130,"&gt;1")</f>
        <v>0</v>
      </c>
    </row>
    <row r="138" spans="2:35" x14ac:dyDescent="0.2">
      <c r="B138" s="11" t="s">
        <v>192</v>
      </c>
      <c r="C138" s="133" t="s">
        <v>191</v>
      </c>
      <c r="D138" s="97">
        <f>SUMIF(F131:AI131,"&gt;0")-SUMIF(F131:AI131,"&gt;1")</f>
        <v>0</v>
      </c>
    </row>
    <row r="139" spans="2:35" x14ac:dyDescent="0.2">
      <c r="B139" s="70" t="s">
        <v>193</v>
      </c>
      <c r="C139" s="2" t="s">
        <v>186</v>
      </c>
      <c r="D139" s="173">
        <f>F86</f>
        <v>0</v>
      </c>
    </row>
    <row r="140" spans="2:35" x14ac:dyDescent="0.2">
      <c r="B140" s="20" t="s">
        <v>194</v>
      </c>
      <c r="C140" s="2" t="s">
        <v>356</v>
      </c>
      <c r="D140" s="188">
        <f>SUM(D141:D142)</f>
        <v>0</v>
      </c>
    </row>
    <row r="141" spans="2:35" x14ac:dyDescent="0.2">
      <c r="B141" s="98" t="s">
        <v>195</v>
      </c>
      <c r="C141" s="171" t="s">
        <v>356</v>
      </c>
      <c r="D141" s="189"/>
    </row>
    <row r="142" spans="2:35" x14ac:dyDescent="0.2">
      <c r="B142" s="142" t="s">
        <v>196</v>
      </c>
      <c r="C142" s="172" t="s">
        <v>356</v>
      </c>
      <c r="D142" s="190"/>
    </row>
    <row r="145" spans="2:8" x14ac:dyDescent="0.2">
      <c r="B145" s="193" t="s">
        <v>476</v>
      </c>
      <c r="C145" s="194"/>
      <c r="D145" s="194"/>
      <c r="E145" s="194"/>
      <c r="F145" s="194"/>
      <c r="G145" s="194"/>
      <c r="H145" s="198"/>
    </row>
    <row r="146" spans="2:8" x14ac:dyDescent="0.2">
      <c r="B146" s="195" t="s">
        <v>21</v>
      </c>
      <c r="C146" s="195" t="s">
        <v>156</v>
      </c>
      <c r="D146" s="195"/>
      <c r="E146" s="195" t="s">
        <v>157</v>
      </c>
      <c r="F146" s="195" t="s">
        <v>477</v>
      </c>
      <c r="G146" s="82" t="s">
        <v>443</v>
      </c>
      <c r="H146" s="199"/>
    </row>
    <row r="147" spans="2:8" x14ac:dyDescent="0.2">
      <c r="B147" s="196" t="s">
        <v>478</v>
      </c>
      <c r="C147" s="194"/>
      <c r="D147" s="194"/>
      <c r="E147" s="194"/>
      <c r="F147" s="194"/>
      <c r="G147" s="194"/>
      <c r="H147" s="198"/>
    </row>
    <row r="148" spans="2:8" x14ac:dyDescent="0.2">
      <c r="B148" s="87" t="s">
        <v>49</v>
      </c>
      <c r="C148" s="1" t="s">
        <v>444</v>
      </c>
      <c r="E148" s="1" t="str">
        <f>"kg CO2eq/" &amp; IF(Technology!$C$32="","FU",Technology!$C$32)</f>
        <v>kg CO2eq/FU</v>
      </c>
      <c r="F148" s="140"/>
      <c r="H148" s="48"/>
    </row>
    <row r="149" spans="2:8" x14ac:dyDescent="0.2">
      <c r="B149" s="87"/>
      <c r="C149" s="1" t="s">
        <v>445</v>
      </c>
      <c r="E149" s="1" t="str">
        <f>"kg CO2eq/" &amp; IF(Technology!$C$32="","FU",Technology!$C$32)</f>
        <v>kg CO2eq/FU</v>
      </c>
      <c r="F149" s="140"/>
      <c r="H149" s="48"/>
    </row>
    <row r="150" spans="2:8" x14ac:dyDescent="0.2">
      <c r="B150" s="87"/>
      <c r="C150" s="1" t="s">
        <v>223</v>
      </c>
      <c r="D150" s="1" t="s">
        <v>479</v>
      </c>
      <c r="E150" s="1" t="str">
        <f>"kg CO2eq/" &amp; IF(Technology!$C$32="","FU",Technology!$C$32)</f>
        <v>kg CO2eq/FU</v>
      </c>
      <c r="F150" s="140"/>
      <c r="H150" s="48"/>
    </row>
    <row r="151" spans="2:8" x14ac:dyDescent="0.2">
      <c r="B151" s="87"/>
      <c r="D151" s="1" t="s">
        <v>172</v>
      </c>
      <c r="E151" s="1" t="str">
        <f>"kg CO2eq/" &amp; IF(Technology!$C$32="","FU",Technology!$C$32)</f>
        <v>kg CO2eq/FU</v>
      </c>
      <c r="F151" s="140"/>
      <c r="H151" s="48"/>
    </row>
    <row r="152" spans="2:8" x14ac:dyDescent="0.2">
      <c r="B152" s="87"/>
      <c r="C152" s="1" t="s">
        <v>480</v>
      </c>
      <c r="E152" s="1" t="str">
        <f>"kg CO2eq/" &amp; IF(Technology!$C$32="","FU",Technology!$C$32)</f>
        <v>kg CO2eq/FU</v>
      </c>
      <c r="F152" s="140"/>
      <c r="H152" s="48"/>
    </row>
    <row r="153" spans="2:8" x14ac:dyDescent="0.2">
      <c r="B153" s="87"/>
      <c r="C153" s="1" t="s">
        <v>225</v>
      </c>
      <c r="E153" s="1" t="str">
        <f>"kg CO2eq/" &amp; IF(Technology!$C$32="","FU",Technology!$C$32)</f>
        <v>kg CO2eq/FU</v>
      </c>
      <c r="F153" s="140"/>
      <c r="H153" s="48"/>
    </row>
    <row r="154" spans="2:8" x14ac:dyDescent="0.2">
      <c r="B154" s="87"/>
      <c r="F154" s="140"/>
      <c r="H154" s="48"/>
    </row>
    <row r="155" spans="2:8" x14ac:dyDescent="0.2">
      <c r="B155" s="87" t="s">
        <v>49</v>
      </c>
      <c r="C155" s="1" t="s">
        <v>444</v>
      </c>
      <c r="E155" s="1" t="str">
        <f>"kg CO2eq/" &amp; IF(Technology!$C$32="","FU",Technology!$C$32)</f>
        <v>kg CO2eq/FU</v>
      </c>
      <c r="F155" s="140"/>
      <c r="H155" s="48"/>
    </row>
    <row r="156" spans="2:8" x14ac:dyDescent="0.2">
      <c r="B156" s="87"/>
      <c r="C156" s="1" t="s">
        <v>445</v>
      </c>
      <c r="E156" s="1" t="str">
        <f>"kg CO2eq/" &amp; IF(Technology!$C$32="","FU",Technology!$C$32)</f>
        <v>kg CO2eq/FU</v>
      </c>
      <c r="F156" s="140"/>
      <c r="H156" s="48"/>
    </row>
    <row r="157" spans="2:8" x14ac:dyDescent="0.2">
      <c r="B157" s="87"/>
      <c r="C157" s="1" t="s">
        <v>223</v>
      </c>
      <c r="D157" s="1" t="s">
        <v>170</v>
      </c>
      <c r="E157" s="1" t="str">
        <f>"kg CO2eq/" &amp; IF(Technology!$C$32="","FU",Technology!$C$32)</f>
        <v>kg CO2eq/FU</v>
      </c>
      <c r="F157" s="140"/>
      <c r="H157" s="48"/>
    </row>
    <row r="158" spans="2:8" x14ac:dyDescent="0.2">
      <c r="B158" s="87"/>
      <c r="D158" s="1" t="s">
        <v>172</v>
      </c>
      <c r="E158" s="1" t="str">
        <f>"kg CO2eq/" &amp; IF(Technology!$C$32="","FU",Technology!$C$32)</f>
        <v>kg CO2eq/FU</v>
      </c>
      <c r="F158" s="140"/>
      <c r="H158" s="48"/>
    </row>
    <row r="159" spans="2:8" x14ac:dyDescent="0.2">
      <c r="B159" s="87"/>
      <c r="C159" s="1" t="s">
        <v>480</v>
      </c>
      <c r="E159" s="1" t="str">
        <f>"kg CO2eq/" &amp; IF(Technology!$C$32="","FU",Technology!$C$32)</f>
        <v>kg CO2eq/FU</v>
      </c>
      <c r="F159" s="140"/>
      <c r="H159" s="48"/>
    </row>
    <row r="160" spans="2:8" x14ac:dyDescent="0.2">
      <c r="B160" s="87"/>
      <c r="C160" s="1" t="s">
        <v>225</v>
      </c>
      <c r="E160" s="1" t="str">
        <f>"kg CO2eq/" &amp; IF(Technology!$C$32="","FU",Technology!$C$32)</f>
        <v>kg CO2eq/FU</v>
      </c>
      <c r="F160" s="140"/>
      <c r="H160" s="48"/>
    </row>
    <row r="161" spans="2:8" x14ac:dyDescent="0.2">
      <c r="B161" s="87"/>
      <c r="F161" s="140"/>
      <c r="H161" s="48"/>
    </row>
    <row r="162" spans="2:8" x14ac:dyDescent="0.2">
      <c r="B162" s="82" t="s">
        <v>481</v>
      </c>
      <c r="C162" s="52"/>
      <c r="D162" s="52"/>
      <c r="E162" s="52"/>
      <c r="F162" s="192"/>
      <c r="G162" s="52"/>
      <c r="H162" s="199"/>
    </row>
    <row r="163" spans="2:8" x14ac:dyDescent="0.2">
      <c r="B163" s="87" t="s">
        <v>49</v>
      </c>
      <c r="C163" s="1" t="s">
        <v>444</v>
      </c>
      <c r="E163" s="1" t="str">
        <f>"kg CO2eq/" &amp; IF(Technology!$C$32="","FU",Technology!$C$32)</f>
        <v>kg CO2eq/FU</v>
      </c>
      <c r="F163" s="140"/>
      <c r="H163" s="48"/>
    </row>
    <row r="164" spans="2:8" x14ac:dyDescent="0.2">
      <c r="B164" s="87"/>
      <c r="C164" s="1" t="s">
        <v>445</v>
      </c>
      <c r="E164" s="1" t="str">
        <f>"kg CO2eq/" &amp; IF(Technology!$C$32="","FU",Technology!$C$32)</f>
        <v>kg CO2eq/FU</v>
      </c>
      <c r="F164" s="140"/>
      <c r="H164" s="48"/>
    </row>
    <row r="165" spans="2:8" x14ac:dyDescent="0.2">
      <c r="B165" s="87"/>
      <c r="C165" s="1" t="s">
        <v>223</v>
      </c>
      <c r="D165" s="1" t="s">
        <v>170</v>
      </c>
      <c r="E165" s="1" t="str">
        <f>"kg CO2eq/" &amp; IF(Technology!$C$32="","FU",Technology!$C$32)</f>
        <v>kg CO2eq/FU</v>
      </c>
      <c r="F165" s="140"/>
      <c r="H165" s="48"/>
    </row>
    <row r="166" spans="2:8" x14ac:dyDescent="0.2">
      <c r="B166" s="87"/>
      <c r="D166" s="1" t="s">
        <v>172</v>
      </c>
      <c r="E166" s="1" t="str">
        <f>"kg CO2eq/" &amp; IF(Technology!$C$32="","FU",Technology!$C$32)</f>
        <v>kg CO2eq/FU</v>
      </c>
      <c r="F166" s="140"/>
      <c r="H166" s="48"/>
    </row>
    <row r="167" spans="2:8" x14ac:dyDescent="0.2">
      <c r="B167" s="197"/>
      <c r="C167" s="7"/>
      <c r="D167" s="7"/>
      <c r="E167" s="7"/>
      <c r="F167" s="7"/>
      <c r="G167" s="7"/>
      <c r="H167" s="49"/>
    </row>
    <row r="171" spans="2:8" x14ac:dyDescent="0.2">
      <c r="B171" s="74" t="s">
        <v>451</v>
      </c>
      <c r="C171" s="177" t="s">
        <v>157</v>
      </c>
      <c r="D171" s="181" t="s">
        <v>434</v>
      </c>
    </row>
    <row r="172" spans="2:8" x14ac:dyDescent="0.2">
      <c r="B172" s="72" t="s">
        <v>482</v>
      </c>
      <c r="C172" s="174" t="str">
        <f>"ton CO2eq/" &amp; IF(Technology!C32="","FU",Technology!C32)</f>
        <v>ton CO2eq/FU</v>
      </c>
      <c r="D172" s="184"/>
    </row>
    <row r="173" spans="2:8" x14ac:dyDescent="0.2">
      <c r="B173" s="73" t="s">
        <v>483</v>
      </c>
      <c r="C173" s="176" t="str">
        <f>"ton CO2eq avoided/" &amp; IF(Technology!C32="","FU",Technology!C32)</f>
        <v>ton CO2eq avoided/FU</v>
      </c>
      <c r="D173" s="185"/>
    </row>
    <row r="174" spans="2:8" x14ac:dyDescent="0.2">
      <c r="B174" s="72" t="s">
        <v>484</v>
      </c>
      <c r="C174" s="187" t="str">
        <f>"ton CO2eq/" &amp; IF(Technology!C32="","FU",Technology!C32)</f>
        <v>ton CO2eq/FU</v>
      </c>
      <c r="D174" s="184">
        <f>D172-D173</f>
        <v>0</v>
      </c>
    </row>
    <row r="175" spans="2:8" x14ac:dyDescent="0.2">
      <c r="B175" s="73"/>
      <c r="C175" s="176" t="s">
        <v>485</v>
      </c>
      <c r="D175" s="185"/>
    </row>
    <row r="176" spans="2:8" ht="13.8" x14ac:dyDescent="0.3">
      <c r="B176" s="86" t="s">
        <v>198</v>
      </c>
      <c r="C176" s="224" t="str">
        <f>"ton CO2eq/" &amp; IF(Technology!C32="","FU",Technology!C32)</f>
        <v>ton CO2eq/FU</v>
      </c>
      <c r="D176" s="225">
        <f>D174-Technology!D15</f>
        <v>0</v>
      </c>
    </row>
    <row r="177" spans="1:4" x14ac:dyDescent="0.2">
      <c r="B177" s="73"/>
      <c r="C177" s="133" t="s">
        <v>485</v>
      </c>
      <c r="D177" s="226"/>
    </row>
    <row r="179" spans="1:4" x14ac:dyDescent="0.2">
      <c r="B179" s="128" t="s">
        <v>486</v>
      </c>
      <c r="C179" s="178" t="s">
        <v>157</v>
      </c>
      <c r="D179" s="182" t="s">
        <v>434</v>
      </c>
    </row>
    <row r="180" spans="1:4" x14ac:dyDescent="0.2">
      <c r="B180" s="127" t="s">
        <v>199</v>
      </c>
      <c r="C180" s="175" t="s">
        <v>487</v>
      </c>
      <c r="D180" s="311">
        <f>IF(D176=0,0,D140/D176)</f>
        <v>0</v>
      </c>
    </row>
    <row r="181" spans="1:4" ht="13.8" x14ac:dyDescent="0.3">
      <c r="B181" s="127" t="s">
        <v>488</v>
      </c>
      <c r="C181" s="175" t="s">
        <v>489</v>
      </c>
      <c r="D181" s="183"/>
    </row>
    <row r="183" spans="1:4" x14ac:dyDescent="0.2">
      <c r="B183" s="150"/>
    </row>
    <row r="184" spans="1:4" s="151" customFormat="1" x14ac:dyDescent="0.2">
      <c r="A184" s="1"/>
      <c r="B184" s="152" t="s">
        <v>490</v>
      </c>
      <c r="C184" s="153"/>
      <c r="D184" s="153"/>
    </row>
    <row r="195" spans="1:4" s="151" customFormat="1" x14ac:dyDescent="0.2">
      <c r="A195" s="1"/>
      <c r="B195" s="152" t="s">
        <v>491</v>
      </c>
      <c r="C195" s="153"/>
      <c r="D195" s="153"/>
    </row>
    <row r="205" spans="1:4" x14ac:dyDescent="0.2">
      <c r="B205" s="150"/>
    </row>
    <row r="207" spans="1:4" s="151" customFormat="1" x14ac:dyDescent="0.2">
      <c r="A207" s="1"/>
      <c r="B207" s="152" t="s">
        <v>492</v>
      </c>
      <c r="C207" s="153"/>
      <c r="D207" s="153"/>
    </row>
  </sheetData>
  <mergeCells count="1">
    <mergeCell ref="E78:AI78"/>
  </mergeCells>
  <dataValidations count="2">
    <dataValidation allowBlank="1" showInputMessage="1" showErrorMessage="1" prompt="The total manufacturing cost is the sum of the total OPEX for one year." sqref="B139" xr:uid="{C042559C-B28C-4B02-9D64-0B0D61D2CEF8}"/>
    <dataValidation allowBlank="1" showInputMessage="1" showErrorMessage="1" prompt="The levelized cost of product is calculated by dividing the sum of all the costs over the lifetime by the sum of the product produced over the lifetime. " sqref="B140" xr:uid="{24897A67-B6A1-4C78-AD7D-FE6DA31F2344}"/>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8C7E-0521-4F7F-8F77-869E98E42FD2}">
  <sheetPr codeName="Sheet13"/>
  <dimension ref="A1:AI207"/>
  <sheetViews>
    <sheetView workbookViewId="0">
      <pane xSplit="1" topLeftCell="B1" activePane="topRight" state="frozen"/>
      <selection activeCell="E31" sqref="E31:E32"/>
      <selection pane="topRight" activeCell="E13" sqref="E13"/>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50" t="str">
        <f>'Pathway definition and results'!F13</f>
        <v>2. Pathway 2</v>
      </c>
    </row>
    <row r="6" spans="1:10" s="14" customFormat="1" x14ac:dyDescent="0.2">
      <c r="A6" s="1"/>
      <c r="B6" s="17" t="s">
        <v>440</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20" t="s">
        <v>441</v>
      </c>
      <c r="C30" s="221"/>
      <c r="D30" s="221"/>
      <c r="E30" s="221"/>
      <c r="F30" s="221"/>
      <c r="G30" s="221"/>
      <c r="H30" s="222"/>
      <c r="I30" s="222"/>
      <c r="J30" s="223"/>
    </row>
    <row r="31" spans="2:10" x14ac:dyDescent="0.2">
      <c r="B31" s="25" t="s">
        <v>21</v>
      </c>
      <c r="C31" s="25" t="s">
        <v>156</v>
      </c>
      <c r="D31" s="26"/>
      <c r="E31" s="27" t="s">
        <v>434</v>
      </c>
      <c r="F31" s="28" t="s">
        <v>442</v>
      </c>
      <c r="G31" s="27" t="s">
        <v>434</v>
      </c>
      <c r="H31" s="28" t="str">
        <f>"Unit per " &amp; IF(Technology!$C$32="","FU",Technology!$C$32)</f>
        <v>Unit per FU</v>
      </c>
      <c r="I31" s="29" t="s">
        <v>443</v>
      </c>
      <c r="J31" s="219"/>
    </row>
    <row r="32" spans="2:10" x14ac:dyDescent="0.2">
      <c r="B32" s="30"/>
      <c r="C32" s="30"/>
      <c r="D32" s="24"/>
      <c r="E32" s="31"/>
      <c r="F32" s="32"/>
      <c r="G32" s="14"/>
      <c r="H32" s="24"/>
      <c r="I32" s="14"/>
      <c r="J32" s="218"/>
    </row>
    <row r="33" spans="2:10" x14ac:dyDescent="0.2">
      <c r="B33" s="33" t="s">
        <v>49</v>
      </c>
      <c r="C33" s="34" t="s">
        <v>166</v>
      </c>
      <c r="D33" s="23" t="s">
        <v>444</v>
      </c>
      <c r="E33" s="35"/>
      <c r="F33" s="36" t="s">
        <v>159</v>
      </c>
      <c r="H33" s="36" t="str">
        <f>"kg/" &amp; IF(Technology!$C$32="","FU",Technology!$C$32)</f>
        <v>kg/FU</v>
      </c>
      <c r="J33" s="48"/>
    </row>
    <row r="34" spans="2:10" x14ac:dyDescent="0.2">
      <c r="B34" s="30"/>
      <c r="C34" s="34"/>
      <c r="D34" s="23" t="s">
        <v>445</v>
      </c>
      <c r="E34" s="38"/>
      <c r="F34" s="36" t="s">
        <v>159</v>
      </c>
      <c r="H34" s="36" t="str">
        <f>"kg/" &amp; IF(Technology!$C$32="","FU",Technology!$C$32)</f>
        <v>kg/FU</v>
      </c>
      <c r="J34" s="48"/>
    </row>
    <row r="35" spans="2:10" x14ac:dyDescent="0.2">
      <c r="B35" s="30"/>
      <c r="C35" s="34"/>
      <c r="D35" s="23"/>
      <c r="E35" s="38"/>
      <c r="F35" s="36"/>
      <c r="H35" s="36"/>
      <c r="J35" s="48"/>
    </row>
    <row r="36" spans="2:10" x14ac:dyDescent="0.2">
      <c r="B36" s="30"/>
      <c r="C36" s="34"/>
      <c r="D36" s="23" t="s">
        <v>446</v>
      </c>
      <c r="E36" s="38"/>
      <c r="F36" s="36" t="s">
        <v>171</v>
      </c>
      <c r="H36" s="36" t="str">
        <f>"kWh/" &amp; IF(Technology!$C$32="","FU",Technology!$C$32)</f>
        <v>kWh/FU</v>
      </c>
      <c r="J36" s="48"/>
    </row>
    <row r="37" spans="2:10" x14ac:dyDescent="0.2">
      <c r="B37" s="30"/>
      <c r="C37" s="34"/>
      <c r="D37" s="23" t="s">
        <v>447</v>
      </c>
      <c r="E37" s="38"/>
      <c r="F37" s="36" t="s">
        <v>171</v>
      </c>
      <c r="H37" s="36" t="str">
        <f>"kWh/" &amp; IF(Technology!$C$32="","FU",Technology!$C$32)</f>
        <v>kWh/FU</v>
      </c>
      <c r="J37" s="48"/>
    </row>
    <row r="38" spans="2:10" x14ac:dyDescent="0.2">
      <c r="B38" s="30"/>
      <c r="C38" s="34"/>
      <c r="D38" s="23" t="s">
        <v>248</v>
      </c>
      <c r="E38" s="38"/>
      <c r="F38" s="36" t="s">
        <v>171</v>
      </c>
      <c r="H38" s="36" t="str">
        <f>"kWh/" &amp; IF(Technology!$C$32="","FU",Technology!$C$32)</f>
        <v>kWh/FU</v>
      </c>
      <c r="J38" s="48"/>
    </row>
    <row r="39" spans="2:10" x14ac:dyDescent="0.2">
      <c r="B39" s="30"/>
      <c r="C39" s="34"/>
      <c r="D39" s="23" t="s">
        <v>252</v>
      </c>
      <c r="E39" s="38"/>
      <c r="F39" s="36" t="s">
        <v>171</v>
      </c>
      <c r="H39" s="36" t="str">
        <f>"kWh/" &amp; IF(Technology!$C$32="","FU",Technology!$C$32)</f>
        <v>kWh/FU</v>
      </c>
      <c r="J39" s="48"/>
    </row>
    <row r="40" spans="2:10" x14ac:dyDescent="0.2">
      <c r="B40" s="30"/>
      <c r="C40" s="34"/>
      <c r="D40" s="23"/>
      <c r="E40" s="38"/>
      <c r="F40" s="36"/>
      <c r="H40" s="36"/>
      <c r="J40" s="48"/>
    </row>
    <row r="41" spans="2:10" x14ac:dyDescent="0.2">
      <c r="B41" s="30"/>
      <c r="C41" s="34"/>
      <c r="D41" s="23" t="s">
        <v>269</v>
      </c>
      <c r="E41" s="38"/>
      <c r="F41" s="36" t="s">
        <v>448</v>
      </c>
      <c r="H41" s="36" t="str">
        <f>"m²/" &amp; IF(Technology!$C$32="","FU",Technology!$C$32)</f>
        <v>m²/FU</v>
      </c>
      <c r="J41" s="48"/>
    </row>
    <row r="42" spans="2:10" x14ac:dyDescent="0.2">
      <c r="B42" s="30"/>
      <c r="C42" s="34"/>
      <c r="D42" s="23" t="s">
        <v>449</v>
      </c>
      <c r="E42" s="38"/>
      <c r="F42" s="36" t="s">
        <v>267</v>
      </c>
      <c r="H42" s="36" t="s">
        <v>267</v>
      </c>
      <c r="J42" s="48"/>
    </row>
    <row r="43" spans="2:10" x14ac:dyDescent="0.2">
      <c r="B43" s="30"/>
      <c r="C43" s="34"/>
      <c r="D43" s="23"/>
      <c r="E43" s="38"/>
      <c r="F43" s="36"/>
      <c r="H43" s="36"/>
      <c r="J43" s="48"/>
    </row>
    <row r="44" spans="2:10" x14ac:dyDescent="0.2">
      <c r="B44" s="30"/>
      <c r="C44" s="34" t="s">
        <v>173</v>
      </c>
      <c r="D44" s="23" t="s">
        <v>450</v>
      </c>
      <c r="E44" s="38"/>
      <c r="F44" s="36" t="s">
        <v>159</v>
      </c>
      <c r="H44" s="36" t="str">
        <f>"kg/" &amp; IF(Technology!$C$32="","FU",Technology!$C$32)</f>
        <v>kg/FU</v>
      </c>
      <c r="J44" s="48"/>
    </row>
    <row r="45" spans="2:10" x14ac:dyDescent="0.2">
      <c r="B45" s="30"/>
      <c r="C45" s="34"/>
      <c r="D45" s="23" t="s">
        <v>445</v>
      </c>
      <c r="E45" s="38"/>
      <c r="F45" s="36" t="s">
        <v>159</v>
      </c>
      <c r="H45" s="36" t="str">
        <f>"kg/" &amp; IF(Technology!$C$32="","FU",Technology!$C$32)</f>
        <v>kg/FU</v>
      </c>
      <c r="J45" s="48"/>
    </row>
    <row r="46" spans="2:10" x14ac:dyDescent="0.2">
      <c r="B46" s="30"/>
      <c r="C46" s="34"/>
      <c r="D46" s="23" t="s">
        <v>226</v>
      </c>
      <c r="E46" s="38"/>
      <c r="F46" s="36" t="s">
        <v>159</v>
      </c>
      <c r="H46" s="36" t="str">
        <f>"kg/" &amp; IF(Technology!$C$32="","FU",Technology!$C$32)</f>
        <v>kg/FU</v>
      </c>
      <c r="J46" s="48"/>
    </row>
    <row r="47" spans="2:10" x14ac:dyDescent="0.2">
      <c r="B47" s="30"/>
      <c r="C47" s="34"/>
      <c r="D47" s="23" t="s">
        <v>227</v>
      </c>
      <c r="E47" s="38"/>
      <c r="F47" s="36" t="s">
        <v>159</v>
      </c>
      <c r="H47" s="36" t="str">
        <f>"kg/" &amp; IF(Technology!$C$32="","FU",Technology!$C$32)</f>
        <v>kg/FU</v>
      </c>
      <c r="J47" s="48"/>
    </row>
    <row r="48" spans="2:10" x14ac:dyDescent="0.2">
      <c r="B48" s="30"/>
      <c r="C48" s="39"/>
      <c r="D48" s="23"/>
      <c r="E48" s="38"/>
      <c r="F48" s="36"/>
      <c r="H48" s="36"/>
      <c r="J48" s="48"/>
    </row>
    <row r="49" spans="2:10" x14ac:dyDescent="0.2">
      <c r="B49" s="30"/>
      <c r="C49" s="30"/>
      <c r="D49" s="40"/>
      <c r="E49" s="41"/>
      <c r="F49" s="42"/>
      <c r="G49" s="14"/>
      <c r="H49" s="42"/>
      <c r="I49" s="14"/>
      <c r="J49" s="218"/>
    </row>
    <row r="50" spans="2:10" x14ac:dyDescent="0.2">
      <c r="B50" s="33" t="s">
        <v>49</v>
      </c>
      <c r="C50" s="34" t="s">
        <v>166</v>
      </c>
      <c r="D50" s="23" t="s">
        <v>444</v>
      </c>
      <c r="E50" s="35"/>
      <c r="F50" s="36" t="s">
        <v>159</v>
      </c>
      <c r="H50" s="36" t="str">
        <f>"kg/" &amp; IF(Technology!$C$32="","FU",Technology!$C$32)</f>
        <v>kg/FU</v>
      </c>
      <c r="J50" s="48"/>
    </row>
    <row r="51" spans="2:10" x14ac:dyDescent="0.2">
      <c r="B51" s="33"/>
      <c r="C51" s="34"/>
      <c r="D51" s="23" t="s">
        <v>445</v>
      </c>
      <c r="E51" s="38"/>
      <c r="F51" s="36" t="s">
        <v>159</v>
      </c>
      <c r="H51" s="36" t="str">
        <f>"kg/" &amp; IF(Technology!$C$32="","FU",Technology!$C$32)</f>
        <v>kg/FU</v>
      </c>
      <c r="J51" s="48"/>
    </row>
    <row r="52" spans="2:10" x14ac:dyDescent="0.2">
      <c r="B52" s="33"/>
      <c r="C52" s="34"/>
      <c r="D52" s="23"/>
      <c r="E52" s="38"/>
      <c r="F52" s="36"/>
      <c r="H52" s="36"/>
      <c r="J52" s="48"/>
    </row>
    <row r="53" spans="2:10" x14ac:dyDescent="0.2">
      <c r="B53" s="33"/>
      <c r="C53" s="34"/>
      <c r="D53" s="23" t="s">
        <v>446</v>
      </c>
      <c r="E53" s="38"/>
      <c r="F53" s="36" t="s">
        <v>171</v>
      </c>
      <c r="H53" s="36" t="str">
        <f>"kWh/" &amp; IF(Technology!$C$32="","FU",Technology!$C$32)</f>
        <v>kWh/FU</v>
      </c>
      <c r="J53" s="48"/>
    </row>
    <row r="54" spans="2:10" x14ac:dyDescent="0.2">
      <c r="B54" s="33"/>
      <c r="C54" s="34"/>
      <c r="D54" s="23" t="s">
        <v>447</v>
      </c>
      <c r="E54" s="38"/>
      <c r="F54" s="36" t="s">
        <v>171</v>
      </c>
      <c r="H54" s="36" t="str">
        <f>"kWh/" &amp; IF(Technology!$C$32="","FU",Technology!$C$32)</f>
        <v>kWh/FU</v>
      </c>
      <c r="J54" s="48"/>
    </row>
    <row r="55" spans="2:10" x14ac:dyDescent="0.2">
      <c r="B55" s="33"/>
      <c r="C55" s="34"/>
      <c r="D55" s="23" t="s">
        <v>248</v>
      </c>
      <c r="E55" s="38"/>
      <c r="F55" s="36" t="s">
        <v>171</v>
      </c>
      <c r="H55" s="36" t="str">
        <f>"kWh/" &amp; IF(Technology!$C$32="","FU",Technology!$C$32)</f>
        <v>kWh/FU</v>
      </c>
      <c r="J55" s="48"/>
    </row>
    <row r="56" spans="2:10" x14ac:dyDescent="0.2">
      <c r="B56" s="33"/>
      <c r="C56" s="34"/>
      <c r="D56" s="23" t="s">
        <v>252</v>
      </c>
      <c r="E56" s="38"/>
      <c r="F56" s="36" t="s">
        <v>171</v>
      </c>
      <c r="H56" s="36" t="str">
        <f>"kWh/" &amp; IF(Technology!$C$32="","FU",Technology!$C$32)</f>
        <v>kWh/FU</v>
      </c>
      <c r="J56" s="48"/>
    </row>
    <row r="57" spans="2:10" x14ac:dyDescent="0.2">
      <c r="B57" s="33"/>
      <c r="F57" s="36"/>
      <c r="H57" s="36"/>
      <c r="J57" s="48"/>
    </row>
    <row r="58" spans="2:10" x14ac:dyDescent="0.2">
      <c r="B58" s="33"/>
      <c r="C58" s="34"/>
      <c r="D58" s="23" t="s">
        <v>269</v>
      </c>
      <c r="E58" s="38"/>
      <c r="F58" s="36" t="s">
        <v>448</v>
      </c>
      <c r="H58" s="36" t="str">
        <f>"m²/" &amp; IF(Technology!$C$32="","FU",Technology!$C$32)</f>
        <v>m²/FU</v>
      </c>
      <c r="J58" s="48"/>
    </row>
    <row r="59" spans="2:10" x14ac:dyDescent="0.2">
      <c r="B59" s="33"/>
      <c r="C59" s="34"/>
      <c r="D59" s="23" t="s">
        <v>449</v>
      </c>
      <c r="E59" s="38"/>
      <c r="F59" s="36" t="s">
        <v>267</v>
      </c>
      <c r="H59" s="36" t="s">
        <v>267</v>
      </c>
      <c r="J59" s="48"/>
    </row>
    <row r="60" spans="2:10" x14ac:dyDescent="0.2">
      <c r="B60" s="33"/>
      <c r="C60" s="34"/>
      <c r="D60" s="23"/>
      <c r="E60" s="38"/>
      <c r="F60" s="36"/>
      <c r="H60" s="36"/>
      <c r="J60" s="48"/>
    </row>
    <row r="61" spans="2:10" x14ac:dyDescent="0.2">
      <c r="B61" s="30"/>
      <c r="C61" s="34" t="s">
        <v>173</v>
      </c>
      <c r="D61" s="23" t="s">
        <v>450</v>
      </c>
      <c r="E61" s="38"/>
      <c r="F61" s="36" t="s">
        <v>159</v>
      </c>
      <c r="H61" s="36" t="str">
        <f>"kg/" &amp; IF(Technology!$C$32="","FU",Technology!$C$32)</f>
        <v>kg/FU</v>
      </c>
      <c r="J61" s="48"/>
    </row>
    <row r="62" spans="2:10" x14ac:dyDescent="0.2">
      <c r="B62" s="30"/>
      <c r="C62" s="39"/>
      <c r="D62" s="23" t="s">
        <v>445</v>
      </c>
      <c r="E62" s="38"/>
      <c r="F62" s="36" t="s">
        <v>159</v>
      </c>
      <c r="H62" s="36" t="str">
        <f>"kg/" &amp; IF(Technology!$C$32="","FU",Technology!$C$32)</f>
        <v>kg/FU</v>
      </c>
      <c r="J62" s="48"/>
    </row>
    <row r="63" spans="2:10" x14ac:dyDescent="0.2">
      <c r="B63" s="30"/>
      <c r="C63" s="39"/>
      <c r="D63" s="23" t="s">
        <v>226</v>
      </c>
      <c r="E63" s="38"/>
      <c r="F63" s="36" t="s">
        <v>159</v>
      </c>
      <c r="H63" s="36" t="str">
        <f>"kg/" &amp; IF(Technology!$C$32="","FU",Technology!$C$32)</f>
        <v>kg/FU</v>
      </c>
      <c r="J63" s="48"/>
    </row>
    <row r="64" spans="2:10" x14ac:dyDescent="0.2">
      <c r="B64" s="30"/>
      <c r="C64" s="39"/>
      <c r="D64" s="23" t="s">
        <v>227</v>
      </c>
      <c r="E64" s="38"/>
      <c r="F64" s="36" t="s">
        <v>159</v>
      </c>
      <c r="H64" s="36" t="str">
        <f>"kg/" &amp; IF(Technology!$C$32="","FU",Technology!$C$32)</f>
        <v>kg/FU</v>
      </c>
      <c r="J64" s="48"/>
    </row>
    <row r="65" spans="2:35" x14ac:dyDescent="0.2">
      <c r="B65" s="30"/>
      <c r="C65" s="39"/>
      <c r="D65" s="23"/>
      <c r="E65" s="38"/>
      <c r="F65" s="36"/>
      <c r="H65" s="36"/>
      <c r="J65" s="48"/>
    </row>
    <row r="66" spans="2:35" x14ac:dyDescent="0.2">
      <c r="B66" s="24"/>
      <c r="C66" s="43"/>
      <c r="D66" s="23"/>
      <c r="E66" s="37"/>
      <c r="F66" s="36"/>
      <c r="G66" s="36"/>
      <c r="J66" s="48"/>
    </row>
    <row r="67" spans="2:35" x14ac:dyDescent="0.2">
      <c r="B67" s="25"/>
      <c r="C67" s="214"/>
      <c r="D67" s="215"/>
      <c r="E67" s="216"/>
      <c r="F67" s="217"/>
      <c r="G67" s="217"/>
      <c r="H67" s="7"/>
      <c r="I67" s="7"/>
      <c r="J67" s="49"/>
    </row>
    <row r="69" spans="2:35" x14ac:dyDescent="0.2">
      <c r="B69" s="130" t="s">
        <v>451</v>
      </c>
      <c r="C69" s="169" t="s">
        <v>157</v>
      </c>
      <c r="D69" s="180" t="s">
        <v>434</v>
      </c>
    </row>
    <row r="70" spans="2:35" x14ac:dyDescent="0.2">
      <c r="B70" s="71" t="s">
        <v>176</v>
      </c>
      <c r="C70" s="2" t="s">
        <v>177</v>
      </c>
      <c r="D70" s="280"/>
    </row>
    <row r="71" spans="2:35" x14ac:dyDescent="0.2">
      <c r="B71" s="18" t="s">
        <v>178</v>
      </c>
      <c r="C71" s="2" t="s">
        <v>177</v>
      </c>
      <c r="D71" s="281"/>
    </row>
    <row r="72" spans="2:35" x14ac:dyDescent="0.2">
      <c r="B72" s="18" t="s">
        <v>179</v>
      </c>
      <c r="C72" s="2" t="s">
        <v>177</v>
      </c>
      <c r="D72" s="281"/>
    </row>
    <row r="73" spans="2:35" x14ac:dyDescent="0.2">
      <c r="B73" s="18" t="s">
        <v>180</v>
      </c>
      <c r="C73" s="2" t="s">
        <v>177</v>
      </c>
      <c r="D73" s="281"/>
    </row>
    <row r="74" spans="2:35" x14ac:dyDescent="0.2">
      <c r="B74" s="18" t="s">
        <v>181</v>
      </c>
      <c r="C74" s="2" t="s">
        <v>177</v>
      </c>
      <c r="D74" s="281"/>
    </row>
    <row r="75" spans="2:35" x14ac:dyDescent="0.2">
      <c r="B75" s="129" t="s">
        <v>182</v>
      </c>
      <c r="C75" s="133" t="s">
        <v>177</v>
      </c>
      <c r="D75" s="282"/>
    </row>
    <row r="78" spans="2:35" x14ac:dyDescent="0.2">
      <c r="B78" s="44" t="s">
        <v>452</v>
      </c>
      <c r="C78" s="45"/>
      <c r="D78" s="45"/>
      <c r="E78" s="431" t="s">
        <v>453</v>
      </c>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row>
    <row r="79" spans="2:35" x14ac:dyDescent="0.2">
      <c r="B79" s="46" t="s">
        <v>454</v>
      </c>
      <c r="C79" s="46" t="s">
        <v>21</v>
      </c>
      <c r="D79" s="46" t="s">
        <v>156</v>
      </c>
      <c r="E79" s="46">
        <v>0</v>
      </c>
      <c r="F79" s="46">
        <v>1</v>
      </c>
      <c r="G79" s="46">
        <v>2</v>
      </c>
      <c r="H79" s="46">
        <v>3</v>
      </c>
      <c r="I79" s="46">
        <v>4</v>
      </c>
      <c r="J79" s="46">
        <v>5</v>
      </c>
      <c r="K79" s="46">
        <v>6</v>
      </c>
      <c r="L79" s="46">
        <v>7</v>
      </c>
      <c r="M79" s="46">
        <v>8</v>
      </c>
      <c r="N79" s="46">
        <v>9</v>
      </c>
      <c r="O79" s="46">
        <v>10</v>
      </c>
      <c r="P79" s="46">
        <v>11</v>
      </c>
      <c r="Q79" s="46">
        <v>12</v>
      </c>
      <c r="R79" s="46">
        <v>13</v>
      </c>
      <c r="S79" s="46">
        <v>14</v>
      </c>
      <c r="T79" s="46">
        <v>15</v>
      </c>
      <c r="U79" s="46">
        <v>16</v>
      </c>
      <c r="V79" s="46">
        <v>17</v>
      </c>
      <c r="W79" s="46">
        <v>18</v>
      </c>
      <c r="X79" s="46">
        <v>19</v>
      </c>
      <c r="Y79" s="46">
        <v>20</v>
      </c>
      <c r="Z79" s="46">
        <v>21</v>
      </c>
      <c r="AA79" s="46">
        <v>22</v>
      </c>
      <c r="AB79" s="46">
        <v>23</v>
      </c>
      <c r="AC79" s="46">
        <v>24</v>
      </c>
      <c r="AD79" s="46">
        <v>25</v>
      </c>
      <c r="AE79" s="46">
        <v>26</v>
      </c>
      <c r="AF79" s="46">
        <v>27</v>
      </c>
      <c r="AG79" s="46">
        <v>28</v>
      </c>
      <c r="AH79" s="46">
        <v>29</v>
      </c>
      <c r="AI79" s="200">
        <v>30</v>
      </c>
    </row>
    <row r="80" spans="2:35" s="6" customFormat="1" x14ac:dyDescent="0.2">
      <c r="B80" s="8" t="s">
        <v>455</v>
      </c>
      <c r="C80" s="8"/>
      <c r="D80" s="8"/>
      <c r="E80" s="201">
        <f t="shared" ref="E80:AI80" si="0">SUM(E81:E85)</f>
        <v>0</v>
      </c>
      <c r="F80" s="201">
        <f t="shared" si="0"/>
        <v>0</v>
      </c>
      <c r="G80" s="201">
        <f t="shared" si="0"/>
        <v>0</v>
      </c>
      <c r="H80" s="201">
        <f t="shared" si="0"/>
        <v>0</v>
      </c>
      <c r="I80" s="201">
        <f t="shared" si="0"/>
        <v>0</v>
      </c>
      <c r="J80" s="201">
        <f t="shared" si="0"/>
        <v>0</v>
      </c>
      <c r="K80" s="201">
        <f t="shared" si="0"/>
        <v>0</v>
      </c>
      <c r="L80" s="201">
        <f t="shared" si="0"/>
        <v>0</v>
      </c>
      <c r="M80" s="201">
        <f t="shared" si="0"/>
        <v>0</v>
      </c>
      <c r="N80" s="201">
        <f t="shared" si="0"/>
        <v>0</v>
      </c>
      <c r="O80" s="201">
        <f t="shared" si="0"/>
        <v>0</v>
      </c>
      <c r="P80" s="201">
        <f t="shared" si="0"/>
        <v>0</v>
      </c>
      <c r="Q80" s="201">
        <f t="shared" si="0"/>
        <v>0</v>
      </c>
      <c r="R80" s="201">
        <f t="shared" si="0"/>
        <v>0</v>
      </c>
      <c r="S80" s="201">
        <f t="shared" si="0"/>
        <v>0</v>
      </c>
      <c r="T80" s="201">
        <f t="shared" si="0"/>
        <v>0</v>
      </c>
      <c r="U80" s="201">
        <f t="shared" si="0"/>
        <v>0</v>
      </c>
      <c r="V80" s="201">
        <f t="shared" si="0"/>
        <v>0</v>
      </c>
      <c r="W80" s="201">
        <f t="shared" si="0"/>
        <v>0</v>
      </c>
      <c r="X80" s="201">
        <f t="shared" si="0"/>
        <v>0</v>
      </c>
      <c r="Y80" s="201">
        <f t="shared" si="0"/>
        <v>0</v>
      </c>
      <c r="Z80" s="201">
        <f t="shared" si="0"/>
        <v>0</v>
      </c>
      <c r="AA80" s="201">
        <f t="shared" si="0"/>
        <v>0</v>
      </c>
      <c r="AB80" s="201">
        <f t="shared" si="0"/>
        <v>0</v>
      </c>
      <c r="AC80" s="201">
        <f t="shared" si="0"/>
        <v>0</v>
      </c>
      <c r="AD80" s="201">
        <f t="shared" si="0"/>
        <v>0</v>
      </c>
      <c r="AE80" s="201">
        <f t="shared" si="0"/>
        <v>0</v>
      </c>
      <c r="AF80" s="201">
        <f t="shared" si="0"/>
        <v>0</v>
      </c>
      <c r="AG80" s="201">
        <f t="shared" si="0"/>
        <v>0</v>
      </c>
      <c r="AH80" s="201">
        <f t="shared" si="0"/>
        <v>0</v>
      </c>
      <c r="AI80" s="202">
        <f t="shared" si="0"/>
        <v>0</v>
      </c>
    </row>
    <row r="81" spans="2:35" x14ac:dyDescent="0.2">
      <c r="B81" s="9"/>
      <c r="C81" s="21" t="s">
        <v>49</v>
      </c>
      <c r="D81" s="1" t="s">
        <v>455</v>
      </c>
      <c r="E81" s="203"/>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5"/>
    </row>
    <row r="82" spans="2:35" x14ac:dyDescent="0.2">
      <c r="B82" s="9"/>
      <c r="C82" s="21"/>
      <c r="D82" s="1" t="s">
        <v>456</v>
      </c>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6"/>
    </row>
    <row r="83" spans="2:35" x14ac:dyDescent="0.2">
      <c r="B83" s="9"/>
      <c r="C83" s="21" t="s">
        <v>49</v>
      </c>
      <c r="D83" s="1" t="s">
        <v>455</v>
      </c>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5"/>
    </row>
    <row r="84" spans="2:35" x14ac:dyDescent="0.2">
      <c r="B84" s="9"/>
      <c r="C84" s="21"/>
      <c r="D84" s="1" t="s">
        <v>456</v>
      </c>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6"/>
    </row>
    <row r="85" spans="2:35" x14ac:dyDescent="0.2">
      <c r="B85" s="9"/>
      <c r="C85" s="21"/>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6"/>
    </row>
    <row r="86" spans="2:35" s="6" customFormat="1" x14ac:dyDescent="0.2">
      <c r="B86" s="8" t="s">
        <v>457</v>
      </c>
      <c r="C86" s="90"/>
      <c r="D86" s="8"/>
      <c r="E86" s="201"/>
      <c r="F86" s="201">
        <f t="shared" ref="F86:AI86" si="1">SUM(F87:F107)</f>
        <v>0</v>
      </c>
      <c r="G86" s="201">
        <f t="shared" si="1"/>
        <v>0</v>
      </c>
      <c r="H86" s="201">
        <f t="shared" si="1"/>
        <v>0</v>
      </c>
      <c r="I86" s="201">
        <f t="shared" si="1"/>
        <v>0</v>
      </c>
      <c r="J86" s="201">
        <f t="shared" si="1"/>
        <v>0</v>
      </c>
      <c r="K86" s="201">
        <f t="shared" si="1"/>
        <v>0</v>
      </c>
      <c r="L86" s="201">
        <f t="shared" si="1"/>
        <v>0</v>
      </c>
      <c r="M86" s="201">
        <f t="shared" si="1"/>
        <v>0</v>
      </c>
      <c r="N86" s="201">
        <f t="shared" si="1"/>
        <v>0</v>
      </c>
      <c r="O86" s="201">
        <f t="shared" si="1"/>
        <v>0</v>
      </c>
      <c r="P86" s="201">
        <f t="shared" si="1"/>
        <v>0</v>
      </c>
      <c r="Q86" s="201">
        <f t="shared" si="1"/>
        <v>0</v>
      </c>
      <c r="R86" s="201">
        <f t="shared" si="1"/>
        <v>0</v>
      </c>
      <c r="S86" s="201">
        <f t="shared" si="1"/>
        <v>0</v>
      </c>
      <c r="T86" s="201">
        <f t="shared" si="1"/>
        <v>0</v>
      </c>
      <c r="U86" s="201">
        <f t="shared" si="1"/>
        <v>0</v>
      </c>
      <c r="V86" s="201">
        <f t="shared" si="1"/>
        <v>0</v>
      </c>
      <c r="W86" s="201">
        <f t="shared" si="1"/>
        <v>0</v>
      </c>
      <c r="X86" s="201">
        <f t="shared" si="1"/>
        <v>0</v>
      </c>
      <c r="Y86" s="201">
        <f t="shared" si="1"/>
        <v>0</v>
      </c>
      <c r="Z86" s="201">
        <f t="shared" si="1"/>
        <v>0</v>
      </c>
      <c r="AA86" s="201">
        <f t="shared" si="1"/>
        <v>0</v>
      </c>
      <c r="AB86" s="201">
        <f t="shared" si="1"/>
        <v>0</v>
      </c>
      <c r="AC86" s="201">
        <f t="shared" si="1"/>
        <v>0</v>
      </c>
      <c r="AD86" s="201">
        <f t="shared" si="1"/>
        <v>0</v>
      </c>
      <c r="AE86" s="201">
        <f t="shared" si="1"/>
        <v>0</v>
      </c>
      <c r="AF86" s="201">
        <f t="shared" si="1"/>
        <v>0</v>
      </c>
      <c r="AG86" s="201">
        <f t="shared" si="1"/>
        <v>0</v>
      </c>
      <c r="AH86" s="201">
        <f t="shared" si="1"/>
        <v>0</v>
      </c>
      <c r="AI86" s="202">
        <f t="shared" si="1"/>
        <v>0</v>
      </c>
    </row>
    <row r="87" spans="2:35" x14ac:dyDescent="0.2">
      <c r="B87" s="9"/>
      <c r="C87" s="21" t="s">
        <v>367</v>
      </c>
      <c r="D87" s="1" t="s">
        <v>458</v>
      </c>
      <c r="E87" s="203"/>
      <c r="F87" s="203">
        <f>IF(F79&gt;e_ecolifetime_yr,0,$E$80*'Data - economic'!$I$41)</f>
        <v>0</v>
      </c>
      <c r="G87" s="203">
        <f>IF(G79&gt;e_ecolifetime_yr,0,$E$80*'Data - economic'!$I$41)</f>
        <v>0</v>
      </c>
      <c r="H87" s="203">
        <f>IF(H79&gt;e_ecolifetime_yr,0,$E$80*'Data - economic'!$I$41)</f>
        <v>0</v>
      </c>
      <c r="I87" s="203">
        <f>IF(I79&gt;e_ecolifetime_yr,0,$E$80*'Data - economic'!$I$41)</f>
        <v>0</v>
      </c>
      <c r="J87" s="203">
        <f>IF(J79&gt;e_ecolifetime_yr,0,$E$80*'Data - economic'!$I$41)</f>
        <v>0</v>
      </c>
      <c r="K87" s="203">
        <f>IF(K79&gt;e_ecolifetime_yr,0,$E$80*'Data - economic'!$I$41)</f>
        <v>0</v>
      </c>
      <c r="L87" s="203">
        <f>IF(L79&gt;e_ecolifetime_yr,0,$E$80*'Data - economic'!$I$41)</f>
        <v>0</v>
      </c>
      <c r="M87" s="203">
        <f>IF(M79&gt;e_ecolifetime_yr,0,$E$80*'Data - economic'!$I$41)</f>
        <v>0</v>
      </c>
      <c r="N87" s="203">
        <f>IF(N79&gt;e_ecolifetime_yr,0,$E$80*'Data - economic'!$I$41)</f>
        <v>0</v>
      </c>
      <c r="O87" s="203">
        <f>IF(O79&gt;e_ecolifetime_yr,0,$E$80*'Data - economic'!$I$41)</f>
        <v>0</v>
      </c>
      <c r="P87" s="203">
        <f>IF(P79&gt;e_ecolifetime_yr,0,$E$80*'Data - economic'!$I$41)</f>
        <v>0</v>
      </c>
      <c r="Q87" s="203">
        <f>IF(Q79&gt;e_ecolifetime_yr,0,$E$80*'Data - economic'!$I$41)</f>
        <v>0</v>
      </c>
      <c r="R87" s="203">
        <f>IF(R79&gt;e_ecolifetime_yr,0,$E$80*'Data - economic'!$I$41)</f>
        <v>0</v>
      </c>
      <c r="S87" s="203">
        <f>IF(S79&gt;e_ecolifetime_yr,0,$E$80*'Data - economic'!$I$41)</f>
        <v>0</v>
      </c>
      <c r="T87" s="203">
        <f>IF(T79&gt;e_ecolifetime_yr,0,$E$80*'Data - economic'!$I$41)</f>
        <v>0</v>
      </c>
      <c r="U87" s="203">
        <f>IF(U79&gt;e_ecolifetime_yr,0,$E$80*'Data - economic'!$I$41)</f>
        <v>0</v>
      </c>
      <c r="V87" s="203">
        <f>IF(V79&gt;e_ecolifetime_yr,0,$E$80*'Data - economic'!$I$41)</f>
        <v>0</v>
      </c>
      <c r="W87" s="203">
        <f>IF(W79&gt;e_ecolifetime_yr,0,$E$80*'Data - economic'!$I$41)</f>
        <v>0</v>
      </c>
      <c r="X87" s="203">
        <f>IF(X79&gt;e_ecolifetime_yr,0,$E$80*'Data - economic'!$I$41)</f>
        <v>0</v>
      </c>
      <c r="Y87" s="203">
        <f>IF(Y79&gt;e_ecolifetime_yr,0,$E$80*'Data - economic'!$I$41)</f>
        <v>0</v>
      </c>
      <c r="Z87" s="203">
        <f>IF(Z79&gt;e_ecolifetime_yr,0,$E$80*'Data - economic'!$I$41)</f>
        <v>0</v>
      </c>
      <c r="AA87" s="203">
        <f>IF(AA79&gt;e_ecolifetime_yr,0,$E$80*'Data - economic'!$I$41)</f>
        <v>0</v>
      </c>
      <c r="AB87" s="203">
        <f>IF(AB79&gt;e_ecolifetime_yr,0,$E$80*'Data - economic'!$I$41)</f>
        <v>0</v>
      </c>
      <c r="AC87" s="203">
        <f>IF(AC79&gt;e_ecolifetime_yr,0,$E$80*'Data - economic'!$I$41)</f>
        <v>0</v>
      </c>
      <c r="AD87" s="203">
        <f>IF(AD79&gt;e_ecolifetime_yr,0,$E$80*'Data - economic'!$I$41)</f>
        <v>0</v>
      </c>
      <c r="AE87" s="203">
        <f>IF(AE79&gt;e_ecolifetime_yr,0,$E$80*'Data - economic'!$I$41)</f>
        <v>0</v>
      </c>
      <c r="AF87" s="203">
        <f>IF(AF79&gt;e_ecolifetime_yr,0,$E$80*'Data - economic'!$I$41)</f>
        <v>0</v>
      </c>
      <c r="AG87" s="203">
        <f>IF(AG79&gt;e_ecolifetime_yr,0,$E$80*'Data - economic'!$I$41)</f>
        <v>0</v>
      </c>
      <c r="AH87" s="203">
        <f>IF(AH79&gt;e_ecolifetime_yr,0,$E$80*'Data - economic'!$I$41)</f>
        <v>0</v>
      </c>
      <c r="AI87" s="206">
        <f>IF(AI79&gt;e_ecolifetime_yr,0,$E$80*'Data - economic'!$I$41)</f>
        <v>0</v>
      </c>
    </row>
    <row r="88" spans="2:35" x14ac:dyDescent="0.2">
      <c r="B88" s="9"/>
      <c r="C88" s="21"/>
      <c r="D88" s="1" t="s">
        <v>459</v>
      </c>
      <c r="E88" s="203"/>
      <c r="F88" s="203">
        <f>IF(F79&gt;e_ecolifetime_yr,0,$E$80*'Data - economic'!$I$42)</f>
        <v>0</v>
      </c>
      <c r="G88" s="203">
        <f>IF(G79&gt;e_ecolifetime_yr,0,$E$80*'Data - economic'!$I$42)</f>
        <v>0</v>
      </c>
      <c r="H88" s="203">
        <f>IF(H79&gt;e_ecolifetime_yr,0,$E$80*'Data - economic'!$I$42)</f>
        <v>0</v>
      </c>
      <c r="I88" s="203">
        <f>IF(I79&gt;e_ecolifetime_yr,0,$E$80*'Data - economic'!$I$42)</f>
        <v>0</v>
      </c>
      <c r="J88" s="203">
        <f>IF(J79&gt;e_ecolifetime_yr,0,$E$80*'Data - economic'!$I$42)</f>
        <v>0</v>
      </c>
      <c r="K88" s="203">
        <f>IF(K79&gt;e_ecolifetime_yr,0,$E$80*'Data - economic'!$I$42)</f>
        <v>0</v>
      </c>
      <c r="L88" s="203">
        <f>IF(L79&gt;e_ecolifetime_yr,0,$E$80*'Data - economic'!$I$42)</f>
        <v>0</v>
      </c>
      <c r="M88" s="203">
        <f>IF(M79&gt;e_ecolifetime_yr,0,$E$80*'Data - economic'!$I$42)</f>
        <v>0</v>
      </c>
      <c r="N88" s="203">
        <f>IF(N79&gt;e_ecolifetime_yr,0,$E$80*'Data - economic'!$I$42)</f>
        <v>0</v>
      </c>
      <c r="O88" s="203">
        <f>IF(O79&gt;e_ecolifetime_yr,0,$E$80*'Data - economic'!$I$42)</f>
        <v>0</v>
      </c>
      <c r="P88" s="203">
        <f>IF(P79&gt;e_ecolifetime_yr,0,$E$80*'Data - economic'!$I$42)</f>
        <v>0</v>
      </c>
      <c r="Q88" s="203">
        <f>IF(Q79&gt;e_ecolifetime_yr,0,$E$80*'Data - economic'!$I$42)</f>
        <v>0</v>
      </c>
      <c r="R88" s="203">
        <f>IF(R79&gt;e_ecolifetime_yr,0,$E$80*'Data - economic'!$I$42)</f>
        <v>0</v>
      </c>
      <c r="S88" s="203">
        <f>IF(S79&gt;e_ecolifetime_yr,0,$E$80*'Data - economic'!$I$42)</f>
        <v>0</v>
      </c>
      <c r="T88" s="203">
        <f>IF(T79&gt;e_ecolifetime_yr,0,$E$80*'Data - economic'!$I$42)</f>
        <v>0</v>
      </c>
      <c r="U88" s="203">
        <f>IF(U79&gt;e_ecolifetime_yr,0,$E$80*'Data - economic'!$I$42)</f>
        <v>0</v>
      </c>
      <c r="V88" s="203">
        <f>IF(V79&gt;e_ecolifetime_yr,0,$E$80*'Data - economic'!$I$42)</f>
        <v>0</v>
      </c>
      <c r="W88" s="203">
        <f>IF(W79&gt;e_ecolifetime_yr,0,$E$80*'Data - economic'!$I$42)</f>
        <v>0</v>
      </c>
      <c r="X88" s="203">
        <f>IF(X79&gt;e_ecolifetime_yr,0,$E$80*'Data - economic'!$I$42)</f>
        <v>0</v>
      </c>
      <c r="Y88" s="203">
        <f>IF(Y79&gt;e_ecolifetime_yr,0,$E$80*'Data - economic'!$I$42)</f>
        <v>0</v>
      </c>
      <c r="Z88" s="203">
        <f>IF(Z79&gt;e_ecolifetime_yr,0,$E$80*'Data - economic'!$I$42)</f>
        <v>0</v>
      </c>
      <c r="AA88" s="203">
        <f>IF(AA79&gt;e_ecolifetime_yr,0,$E$80*'Data - economic'!$I$42)</f>
        <v>0</v>
      </c>
      <c r="AB88" s="203">
        <f>IF(AB79&gt;e_ecolifetime_yr,0,$E$80*'Data - economic'!$I$42)</f>
        <v>0</v>
      </c>
      <c r="AC88" s="203">
        <f>IF(AC79&gt;e_ecolifetime_yr,0,$E$80*'Data - economic'!$I$42)</f>
        <v>0</v>
      </c>
      <c r="AD88" s="203">
        <f>IF(AD79&gt;e_ecolifetime_yr,0,$E$80*'Data - economic'!$I$42)</f>
        <v>0</v>
      </c>
      <c r="AE88" s="203">
        <f>IF(AE79&gt;e_ecolifetime_yr,0,$E$80*'Data - economic'!$I$42)</f>
        <v>0</v>
      </c>
      <c r="AF88" s="203">
        <f>IF(AF79&gt;e_ecolifetime_yr,0,$E$80*'Data - economic'!$I$42)</f>
        <v>0</v>
      </c>
      <c r="AG88" s="203">
        <f>IF(AG79&gt;e_ecolifetime_yr,0,$E$80*'Data - economic'!$I$42)</f>
        <v>0</v>
      </c>
      <c r="AH88" s="203">
        <f>IF(AH79&gt;e_ecolifetime_yr,0,$E$80*'Data - economic'!$I$42)</f>
        <v>0</v>
      </c>
      <c r="AI88" s="206">
        <f>IF(AI79&gt;e_ecolifetime_yr,0,$E$80*'Data - economic'!$I$42)</f>
        <v>0</v>
      </c>
    </row>
    <row r="89" spans="2:35" x14ac:dyDescent="0.2">
      <c r="B89" s="9"/>
      <c r="C89" s="21"/>
      <c r="D89" s="1" t="s">
        <v>460</v>
      </c>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6"/>
    </row>
    <row r="90" spans="2:35" x14ac:dyDescent="0.2">
      <c r="B90" s="9"/>
      <c r="C90" s="21"/>
      <c r="D90" s="1" t="s">
        <v>461</v>
      </c>
      <c r="E90" s="203"/>
      <c r="F90" s="203">
        <f>IF(F79&gt;e_ecolifetime_yr,0,('2. Pathway 2'!$F$89+'2. Pathway 2'!$F$88)*'Data - economic'!$I$43)</f>
        <v>0</v>
      </c>
      <c r="G90" s="203">
        <f>IF(G79&gt;e_ecolifetime_yr,0,('2. Pathway 2'!$F$89+'2. Pathway 2'!$F$88)*'Data - economic'!$I$43)</f>
        <v>0</v>
      </c>
      <c r="H90" s="203">
        <f>IF(H79&gt;e_ecolifetime_yr,0,('2. Pathway 2'!$F$89+'2. Pathway 2'!$F$88)*'Data - economic'!$I$43)</f>
        <v>0</v>
      </c>
      <c r="I90" s="203">
        <f>IF(I79&gt;e_ecolifetime_yr,0,('2. Pathway 2'!$F$89+'2. Pathway 2'!$F$88)*'Data - economic'!$I$43)</f>
        <v>0</v>
      </c>
      <c r="J90" s="203">
        <f>IF(J79&gt;e_ecolifetime_yr,0,('2. Pathway 2'!$F$89+'2. Pathway 2'!$F$88)*'Data - economic'!$I$43)</f>
        <v>0</v>
      </c>
      <c r="K90" s="203">
        <f>IF(K79&gt;e_ecolifetime_yr,0,('2. Pathway 2'!$F$89+'2. Pathway 2'!$F$88)*'Data - economic'!$I$43)</f>
        <v>0</v>
      </c>
      <c r="L90" s="203">
        <f>IF(L79&gt;e_ecolifetime_yr,0,('2. Pathway 2'!$F$89+'2. Pathway 2'!$F$88)*'Data - economic'!$I$43)</f>
        <v>0</v>
      </c>
      <c r="M90" s="203">
        <f>IF(M79&gt;e_ecolifetime_yr,0,('2. Pathway 2'!$F$89+'2. Pathway 2'!$F$88)*'Data - economic'!$I$43)</f>
        <v>0</v>
      </c>
      <c r="N90" s="203">
        <f>IF(N79&gt;e_ecolifetime_yr,0,('2. Pathway 2'!$F$89+'2. Pathway 2'!$F$88)*'Data - economic'!$I$43)</f>
        <v>0</v>
      </c>
      <c r="O90" s="203">
        <f>IF(O79&gt;e_ecolifetime_yr,0,('2. Pathway 2'!$F$89+'2. Pathway 2'!$F$88)*'Data - economic'!$I$43)</f>
        <v>0</v>
      </c>
      <c r="P90" s="203">
        <f>IF(P79&gt;e_ecolifetime_yr,0,('2. Pathway 2'!$F$89+'2. Pathway 2'!$F$88)*'Data - economic'!$I$43)</f>
        <v>0</v>
      </c>
      <c r="Q90" s="203">
        <f>IF(Q79&gt;e_ecolifetime_yr,0,('2. Pathway 2'!$F$89+'2. Pathway 2'!$F$88)*'Data - economic'!$I$43)</f>
        <v>0</v>
      </c>
      <c r="R90" s="203">
        <f>IF(R79&gt;e_ecolifetime_yr,0,('2. Pathway 2'!$F$89+'2. Pathway 2'!$F$88)*'Data - economic'!$I$43)</f>
        <v>0</v>
      </c>
      <c r="S90" s="203">
        <f>IF(S79&gt;e_ecolifetime_yr,0,('2. Pathway 2'!$F$89+'2. Pathway 2'!$F$88)*'Data - economic'!$I$43)</f>
        <v>0</v>
      </c>
      <c r="T90" s="203">
        <f>IF(T79&gt;e_ecolifetime_yr,0,('2. Pathway 2'!$F$89+'2. Pathway 2'!$F$88)*'Data - economic'!$I$43)</f>
        <v>0</v>
      </c>
      <c r="U90" s="203">
        <f>IF(U79&gt;e_ecolifetime_yr,0,('2. Pathway 2'!$F$89+'2. Pathway 2'!$F$88)*'Data - economic'!$I$43)</f>
        <v>0</v>
      </c>
      <c r="V90" s="203">
        <f>IF(V79&gt;e_ecolifetime_yr,0,('2. Pathway 2'!$F$89+'2. Pathway 2'!$F$88)*'Data - economic'!$I$43)</f>
        <v>0</v>
      </c>
      <c r="W90" s="203">
        <f>IF(W79&gt;e_ecolifetime_yr,0,('2. Pathway 2'!$F$89+'2. Pathway 2'!$F$88)*'Data - economic'!$I$43)</f>
        <v>0</v>
      </c>
      <c r="X90" s="203">
        <f>IF(X79&gt;e_ecolifetime_yr,0,('2. Pathway 2'!$F$89+'2. Pathway 2'!$F$88)*'Data - economic'!$I$43)</f>
        <v>0</v>
      </c>
      <c r="Y90" s="203">
        <f>IF(Y79&gt;e_ecolifetime_yr,0,('2. Pathway 2'!$F$89+'2. Pathway 2'!$F$88)*'Data - economic'!$I$43)</f>
        <v>0</v>
      </c>
      <c r="Z90" s="203">
        <f>IF(Z79&gt;e_ecolifetime_yr,0,('2. Pathway 2'!$F$89+'2. Pathway 2'!$F$88)*'Data - economic'!$I$43)</f>
        <v>0</v>
      </c>
      <c r="AA90" s="203">
        <f>IF(AA79&gt;e_ecolifetime_yr,0,('2. Pathway 2'!$F$89+'2. Pathway 2'!$F$88)*'Data - economic'!$I$43)</f>
        <v>0</v>
      </c>
      <c r="AB90" s="203">
        <f>IF(AB79&gt;e_ecolifetime_yr,0,('2. Pathway 2'!$F$89+'2. Pathway 2'!$F$88)*'Data - economic'!$I$43)</f>
        <v>0</v>
      </c>
      <c r="AC90" s="203">
        <f>IF(AC79&gt;e_ecolifetime_yr,0,('2. Pathway 2'!$F$89+'2. Pathway 2'!$F$88)*'Data - economic'!$I$43)</f>
        <v>0</v>
      </c>
      <c r="AD90" s="203">
        <f>IF(AD79&gt;e_ecolifetime_yr,0,('2. Pathway 2'!$F$89+'2. Pathway 2'!$F$88)*'Data - economic'!$I$43)</f>
        <v>0</v>
      </c>
      <c r="AE90" s="203">
        <f>IF(AE79&gt;e_ecolifetime_yr,0,('2. Pathway 2'!$F$89+'2. Pathway 2'!$F$88)*'Data - economic'!$I$43)</f>
        <v>0</v>
      </c>
      <c r="AF90" s="203">
        <f>IF(AF79&gt;e_ecolifetime_yr,0,('2. Pathway 2'!$F$89+'2. Pathway 2'!$F$88)*'Data - economic'!$I$43)</f>
        <v>0</v>
      </c>
      <c r="AG90" s="203">
        <f>IF(AG79&gt;e_ecolifetime_yr,0,('2. Pathway 2'!$F$89+'2. Pathway 2'!$F$88)*'Data - economic'!$I$43)</f>
        <v>0</v>
      </c>
      <c r="AH90" s="203">
        <f>IF(AH79&gt;e_ecolifetime_yr,0,('2. Pathway 2'!$F$89+'2. Pathway 2'!$F$88)*'Data - economic'!$I$43)</f>
        <v>0</v>
      </c>
      <c r="AI90" s="206">
        <f>IF(AI79&gt;e_ecolifetime_yr,0,('2. Pathway 2'!$F$89+'2. Pathway 2'!$F$88)*'Data - economic'!$I$43)</f>
        <v>0</v>
      </c>
    </row>
    <row r="91" spans="2:35" x14ac:dyDescent="0.2">
      <c r="B91" s="9"/>
      <c r="C91" s="21"/>
      <c r="D91" s="1" t="s">
        <v>342</v>
      </c>
      <c r="E91" s="203"/>
      <c r="F91" s="203">
        <f>IF(F79&gt;e_ecolifetime_yr,0,'2. Pathway 2'!$F$89*'Data - economic'!$I$44)</f>
        <v>0</v>
      </c>
      <c r="G91" s="203">
        <f>IF(G79&gt;e_ecolifetime_yr,0,'2. Pathway 2'!$F$89*'Data - economic'!$I$44)</f>
        <v>0</v>
      </c>
      <c r="H91" s="203">
        <f>IF(H79&gt;e_ecolifetime_yr,0,'2. Pathway 2'!$F$89*'Data - economic'!$I$44)</f>
        <v>0</v>
      </c>
      <c r="I91" s="203">
        <f>IF(I79&gt;e_ecolifetime_yr,0,'2. Pathway 2'!$F$89*'Data - economic'!$I$44)</f>
        <v>0</v>
      </c>
      <c r="J91" s="203">
        <f>IF(J79&gt;e_ecolifetime_yr,0,'2. Pathway 2'!$F$89*'Data - economic'!$I$44)</f>
        <v>0</v>
      </c>
      <c r="K91" s="203">
        <f>IF(K79&gt;e_ecolifetime_yr,0,'2. Pathway 2'!$F$89*'Data - economic'!$I$44)</f>
        <v>0</v>
      </c>
      <c r="L91" s="203">
        <f>IF(L79&gt;e_ecolifetime_yr,0,'2. Pathway 2'!$F$89*'Data - economic'!$I$44)</f>
        <v>0</v>
      </c>
      <c r="M91" s="203">
        <f>IF(M79&gt;e_ecolifetime_yr,0,'2. Pathway 2'!$F$89*'Data - economic'!$I$44)</f>
        <v>0</v>
      </c>
      <c r="N91" s="203">
        <f>IF(N79&gt;e_ecolifetime_yr,0,'2. Pathway 2'!$F$89*'Data - economic'!$I$44)</f>
        <v>0</v>
      </c>
      <c r="O91" s="203">
        <f>IF(O79&gt;e_ecolifetime_yr,0,'2. Pathway 2'!$F$89*'Data - economic'!$I$44)</f>
        <v>0</v>
      </c>
      <c r="P91" s="203">
        <f>IF(P79&gt;e_ecolifetime_yr,0,'2. Pathway 2'!$F$89*'Data - economic'!$I$44)</f>
        <v>0</v>
      </c>
      <c r="Q91" s="203">
        <f>IF(Q79&gt;e_ecolifetime_yr,0,'2. Pathway 2'!$F$89*'Data - economic'!$I$44)</f>
        <v>0</v>
      </c>
      <c r="R91" s="203">
        <f>IF(R79&gt;e_ecolifetime_yr,0,'2. Pathway 2'!$F$89*'Data - economic'!$I$44)</f>
        <v>0</v>
      </c>
      <c r="S91" s="203">
        <f>IF(S79&gt;e_ecolifetime_yr,0,'2. Pathway 2'!$F$89*'Data - economic'!$I$44)</f>
        <v>0</v>
      </c>
      <c r="T91" s="203">
        <f>IF(T79&gt;e_ecolifetime_yr,0,'2. Pathway 2'!$F$89*'Data - economic'!$I$44)</f>
        <v>0</v>
      </c>
      <c r="U91" s="203">
        <f>IF(U79&gt;e_ecolifetime_yr,0,'2. Pathway 2'!$F$89*'Data - economic'!$I$44)</f>
        <v>0</v>
      </c>
      <c r="V91" s="203">
        <f>IF(V79&gt;e_ecolifetime_yr,0,'2. Pathway 2'!$F$89*'Data - economic'!$I$44)</f>
        <v>0</v>
      </c>
      <c r="W91" s="203">
        <f>IF(W79&gt;e_ecolifetime_yr,0,'2. Pathway 2'!$F$89*'Data - economic'!$I$44)</f>
        <v>0</v>
      </c>
      <c r="X91" s="203">
        <f>IF(X79&gt;e_ecolifetime_yr,0,'2. Pathway 2'!$F$89*'Data - economic'!$I$44)</f>
        <v>0</v>
      </c>
      <c r="Y91" s="203">
        <f>IF(Y79&gt;e_ecolifetime_yr,0,'2. Pathway 2'!$F$89*'Data - economic'!$I$44)</f>
        <v>0</v>
      </c>
      <c r="Z91" s="203">
        <f>IF(Z79&gt;e_ecolifetime_yr,0,'2. Pathway 2'!$F$89*'Data - economic'!$I$44)</f>
        <v>0</v>
      </c>
      <c r="AA91" s="203">
        <f>IF(AA79&gt;e_ecolifetime_yr,0,'2. Pathway 2'!$F$89*'Data - economic'!$I$44)</f>
        <v>0</v>
      </c>
      <c r="AB91" s="203">
        <f>IF(AB79&gt;e_ecolifetime_yr,0,'2. Pathway 2'!$F$89*'Data - economic'!$I$44)</f>
        <v>0</v>
      </c>
      <c r="AC91" s="203">
        <f>IF(AC79&gt;e_ecolifetime_yr,0,'2. Pathway 2'!$F$89*'Data - economic'!$I$44)</f>
        <v>0</v>
      </c>
      <c r="AD91" s="203">
        <f>IF(AD79&gt;e_ecolifetime_yr,0,'2. Pathway 2'!$F$89*'Data - economic'!$I$44)</f>
        <v>0</v>
      </c>
      <c r="AE91" s="203">
        <f>IF(AE79&gt;e_ecolifetime_yr,0,'2. Pathway 2'!$F$89*'Data - economic'!$I$44)</f>
        <v>0</v>
      </c>
      <c r="AF91" s="203">
        <f>IF(AF79&gt;e_ecolifetime_yr,0,'2. Pathway 2'!$F$89*'Data - economic'!$I$44)</f>
        <v>0</v>
      </c>
      <c r="AG91" s="203">
        <f>IF(AG79&gt;e_ecolifetime_yr,0,'2. Pathway 2'!$F$89*'Data - economic'!$I$44)</f>
        <v>0</v>
      </c>
      <c r="AH91" s="203">
        <f>IF(AH79&gt;e_ecolifetime_yr,0,'2. Pathway 2'!$F$89*'Data - economic'!$I$44)</f>
        <v>0</v>
      </c>
      <c r="AI91" s="206">
        <f>IF(AI79&gt;e_ecolifetime_yr,0,'2. Pathway 2'!$F$89*'Data - economic'!$I$44)</f>
        <v>0</v>
      </c>
    </row>
    <row r="92" spans="2:35" x14ac:dyDescent="0.2">
      <c r="B92" s="9"/>
      <c r="C92" s="21"/>
      <c r="D92" s="1" t="s">
        <v>344</v>
      </c>
      <c r="E92" s="203"/>
      <c r="F92" s="203">
        <f>IF(F79&gt;e_ecolifetime_yr,0,'2. Pathway 2'!$F$89*'Data - economic'!$I$45)</f>
        <v>0</v>
      </c>
      <c r="G92" s="203">
        <f>IF(G79&gt;e_ecolifetime_yr,0,'2. Pathway 2'!$F$89*'Data - economic'!$I$45)</f>
        <v>0</v>
      </c>
      <c r="H92" s="203">
        <f>IF(H79&gt;e_ecolifetime_yr,0,'2. Pathway 2'!$F$89*'Data - economic'!$I$45)</f>
        <v>0</v>
      </c>
      <c r="I92" s="203">
        <f>IF(I79&gt;e_ecolifetime_yr,0,'2. Pathway 2'!$F$89*'Data - economic'!$I$45)</f>
        <v>0</v>
      </c>
      <c r="J92" s="203">
        <f>IF(J79&gt;e_ecolifetime_yr,0,'2. Pathway 2'!$F$89*'Data - economic'!$I$45)</f>
        <v>0</v>
      </c>
      <c r="K92" s="203">
        <f>IF(K79&gt;e_ecolifetime_yr,0,'2. Pathway 2'!$F$89*'Data - economic'!$I$45)</f>
        <v>0</v>
      </c>
      <c r="L92" s="203">
        <f>IF(L79&gt;e_ecolifetime_yr,0,'2. Pathway 2'!$F$89*'Data - economic'!$I$45)</f>
        <v>0</v>
      </c>
      <c r="M92" s="203">
        <f>IF(M79&gt;e_ecolifetime_yr,0,'2. Pathway 2'!$F$89*'Data - economic'!$I$45)</f>
        <v>0</v>
      </c>
      <c r="N92" s="203">
        <f>IF(N79&gt;e_ecolifetime_yr,0,'2. Pathway 2'!$F$89*'Data - economic'!$I$45)</f>
        <v>0</v>
      </c>
      <c r="O92" s="203">
        <f>IF(O79&gt;e_ecolifetime_yr,0,'2. Pathway 2'!$F$89*'Data - economic'!$I$45)</f>
        <v>0</v>
      </c>
      <c r="P92" s="203">
        <f>IF(P79&gt;e_ecolifetime_yr,0,'2. Pathway 2'!$F$89*'Data - economic'!$I$45)</f>
        <v>0</v>
      </c>
      <c r="Q92" s="203">
        <f>IF(Q79&gt;e_ecolifetime_yr,0,'2. Pathway 2'!$F$89*'Data - economic'!$I$45)</f>
        <v>0</v>
      </c>
      <c r="R92" s="203">
        <f>IF(R79&gt;e_ecolifetime_yr,0,'2. Pathway 2'!$F$89*'Data - economic'!$I$45)</f>
        <v>0</v>
      </c>
      <c r="S92" s="203">
        <f>IF(S79&gt;e_ecolifetime_yr,0,'2. Pathway 2'!$F$89*'Data - economic'!$I$45)</f>
        <v>0</v>
      </c>
      <c r="T92" s="203">
        <f>IF(T79&gt;e_ecolifetime_yr,0,'2. Pathway 2'!$F$89*'Data - economic'!$I$45)</f>
        <v>0</v>
      </c>
      <c r="U92" s="203">
        <f>IF(U79&gt;e_ecolifetime_yr,0,'2. Pathway 2'!$F$89*'Data - economic'!$I$45)</f>
        <v>0</v>
      </c>
      <c r="V92" s="203">
        <f>IF(V79&gt;e_ecolifetime_yr,0,'2. Pathway 2'!$F$89*'Data - economic'!$I$45)</f>
        <v>0</v>
      </c>
      <c r="W92" s="203">
        <f>IF(W79&gt;e_ecolifetime_yr,0,'2. Pathway 2'!$F$89*'Data - economic'!$I$45)</f>
        <v>0</v>
      </c>
      <c r="X92" s="203">
        <f>IF(X79&gt;e_ecolifetime_yr,0,'2. Pathway 2'!$F$89*'Data - economic'!$I$45)</f>
        <v>0</v>
      </c>
      <c r="Y92" s="203">
        <f>IF(Y79&gt;e_ecolifetime_yr,0,'2. Pathway 2'!$F$89*'Data - economic'!$I$45)</f>
        <v>0</v>
      </c>
      <c r="Z92" s="203">
        <f>IF(Z79&gt;e_ecolifetime_yr,0,'2. Pathway 2'!$F$89*'Data - economic'!$I$45)</f>
        <v>0</v>
      </c>
      <c r="AA92" s="203">
        <f>IF(AA79&gt;e_ecolifetime_yr,0,'2. Pathway 2'!$F$89*'Data - economic'!$I$45)</f>
        <v>0</v>
      </c>
      <c r="AB92" s="203">
        <f>IF(AB79&gt;e_ecolifetime_yr,0,'2. Pathway 2'!$F$89*'Data - economic'!$I$45)</f>
        <v>0</v>
      </c>
      <c r="AC92" s="203">
        <f>IF(AC79&gt;e_ecolifetime_yr,0,'2. Pathway 2'!$F$89*'Data - economic'!$I$45)</f>
        <v>0</v>
      </c>
      <c r="AD92" s="203">
        <f>IF(AD79&gt;e_ecolifetime_yr,0,'2. Pathway 2'!$F$89*'Data - economic'!$I$45)</f>
        <v>0</v>
      </c>
      <c r="AE92" s="203">
        <f>IF(AE79&gt;e_ecolifetime_yr,0,'2. Pathway 2'!$F$89*'Data - economic'!$I$45)</f>
        <v>0</v>
      </c>
      <c r="AF92" s="203">
        <f>IF(AF79&gt;e_ecolifetime_yr,0,'2. Pathway 2'!$F$89*'Data - economic'!$I$45)</f>
        <v>0</v>
      </c>
      <c r="AG92" s="203">
        <f>IF(AG79&gt;e_ecolifetime_yr,0,'2. Pathway 2'!$F$89*'Data - economic'!$I$45)</f>
        <v>0</v>
      </c>
      <c r="AH92" s="203">
        <f>IF(AH79&gt;e_ecolifetime_yr,0,'2. Pathway 2'!$F$89*'Data - economic'!$I$45)</f>
        <v>0</v>
      </c>
      <c r="AI92" s="206">
        <f>IF(AI79&gt;e_ecolifetime_yr,0,'2. Pathway 2'!$F$89*'Data - economic'!$I$45)</f>
        <v>0</v>
      </c>
    </row>
    <row r="93" spans="2:35" x14ac:dyDescent="0.2">
      <c r="B93" s="9"/>
      <c r="C93" s="21"/>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6"/>
    </row>
    <row r="94" spans="2:35" x14ac:dyDescent="0.2">
      <c r="B94" s="9"/>
      <c r="C94" s="21"/>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6"/>
    </row>
    <row r="95" spans="2:35" x14ac:dyDescent="0.2">
      <c r="B95" s="9"/>
      <c r="C95" s="21" t="s">
        <v>49</v>
      </c>
      <c r="D95" s="1" t="s">
        <v>462</v>
      </c>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6"/>
    </row>
    <row r="96" spans="2:35" x14ac:dyDescent="0.2">
      <c r="B96" s="9"/>
      <c r="C96" s="21"/>
      <c r="D96" s="1" t="s">
        <v>169</v>
      </c>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6"/>
    </row>
    <row r="97" spans="2:35" x14ac:dyDescent="0.2">
      <c r="B97" s="9"/>
      <c r="C97" s="21"/>
      <c r="D97" s="1" t="s">
        <v>168</v>
      </c>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6"/>
    </row>
    <row r="98" spans="2:35" x14ac:dyDescent="0.2">
      <c r="B98" s="9"/>
      <c r="C98" s="21"/>
      <c r="D98" s="1" t="s">
        <v>170</v>
      </c>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6"/>
    </row>
    <row r="99" spans="2:35" x14ac:dyDescent="0.2">
      <c r="B99" s="9"/>
      <c r="C99" s="21"/>
      <c r="D99" s="1" t="s">
        <v>172</v>
      </c>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6"/>
    </row>
    <row r="100" spans="2:35" x14ac:dyDescent="0.2">
      <c r="B100" s="9"/>
      <c r="C100" s="21"/>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6"/>
    </row>
    <row r="101" spans="2:35" x14ac:dyDescent="0.2">
      <c r="B101" s="9"/>
      <c r="C101" s="21" t="s">
        <v>49</v>
      </c>
      <c r="D101" s="1" t="s">
        <v>462</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6"/>
    </row>
    <row r="102" spans="2:35" x14ac:dyDescent="0.2">
      <c r="B102" s="9"/>
      <c r="C102" s="21"/>
      <c r="D102" s="1" t="s">
        <v>169</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6"/>
    </row>
    <row r="103" spans="2:35" x14ac:dyDescent="0.2">
      <c r="B103" s="9"/>
      <c r="C103" s="21"/>
      <c r="D103" s="1" t="s">
        <v>168</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6"/>
    </row>
    <row r="104" spans="2:35" x14ac:dyDescent="0.2">
      <c r="B104" s="9"/>
      <c r="C104" s="21"/>
      <c r="D104" s="1" t="s">
        <v>170</v>
      </c>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6"/>
    </row>
    <row r="105" spans="2:35" x14ac:dyDescent="0.2">
      <c r="B105" s="9"/>
      <c r="C105" s="21"/>
      <c r="D105" s="1" t="s">
        <v>172</v>
      </c>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6"/>
    </row>
    <row r="106" spans="2:35" x14ac:dyDescent="0.2">
      <c r="B106" s="9"/>
      <c r="C106" s="21"/>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6"/>
    </row>
    <row r="107" spans="2:35" x14ac:dyDescent="0.2">
      <c r="B107" s="9"/>
      <c r="C107" s="21"/>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6"/>
    </row>
    <row r="108" spans="2:35" s="6" customFormat="1" x14ac:dyDescent="0.2">
      <c r="B108" s="8" t="s">
        <v>366</v>
      </c>
      <c r="C108" s="90"/>
      <c r="D108" s="8"/>
      <c r="E108" s="201"/>
      <c r="F108" s="201">
        <f>SUM(F109:F113)</f>
        <v>0</v>
      </c>
      <c r="G108" s="201">
        <f t="shared" ref="G108:AI108" si="2">SUM(G109:G113)</f>
        <v>0</v>
      </c>
      <c r="H108" s="201">
        <f t="shared" si="2"/>
        <v>0</v>
      </c>
      <c r="I108" s="201">
        <f t="shared" si="2"/>
        <v>0</v>
      </c>
      <c r="J108" s="201">
        <f t="shared" si="2"/>
        <v>0</v>
      </c>
      <c r="K108" s="201">
        <f t="shared" si="2"/>
        <v>0</v>
      </c>
      <c r="L108" s="201">
        <f t="shared" si="2"/>
        <v>0</v>
      </c>
      <c r="M108" s="201">
        <f t="shared" si="2"/>
        <v>0</v>
      </c>
      <c r="N108" s="201">
        <f t="shared" si="2"/>
        <v>0</v>
      </c>
      <c r="O108" s="201">
        <f t="shared" si="2"/>
        <v>0</v>
      </c>
      <c r="P108" s="201">
        <f t="shared" si="2"/>
        <v>0</v>
      </c>
      <c r="Q108" s="201">
        <f t="shared" si="2"/>
        <v>0</v>
      </c>
      <c r="R108" s="201">
        <f t="shared" si="2"/>
        <v>0</v>
      </c>
      <c r="S108" s="201">
        <f t="shared" si="2"/>
        <v>0</v>
      </c>
      <c r="T108" s="201">
        <f t="shared" si="2"/>
        <v>0</v>
      </c>
      <c r="U108" s="201">
        <f t="shared" si="2"/>
        <v>0</v>
      </c>
      <c r="V108" s="201">
        <f t="shared" si="2"/>
        <v>0</v>
      </c>
      <c r="W108" s="201">
        <f t="shared" si="2"/>
        <v>0</v>
      </c>
      <c r="X108" s="201">
        <f t="shared" si="2"/>
        <v>0</v>
      </c>
      <c r="Y108" s="201">
        <f t="shared" si="2"/>
        <v>0</v>
      </c>
      <c r="Z108" s="201">
        <f t="shared" si="2"/>
        <v>0</v>
      </c>
      <c r="AA108" s="201">
        <f t="shared" si="2"/>
        <v>0</v>
      </c>
      <c r="AB108" s="201">
        <f t="shared" si="2"/>
        <v>0</v>
      </c>
      <c r="AC108" s="201">
        <f t="shared" si="2"/>
        <v>0</v>
      </c>
      <c r="AD108" s="201">
        <f t="shared" si="2"/>
        <v>0</v>
      </c>
      <c r="AE108" s="201">
        <f t="shared" si="2"/>
        <v>0</v>
      </c>
      <c r="AF108" s="201">
        <f t="shared" si="2"/>
        <v>0</v>
      </c>
      <c r="AG108" s="201">
        <f t="shared" si="2"/>
        <v>0</v>
      </c>
      <c r="AH108" s="201">
        <f t="shared" si="2"/>
        <v>0</v>
      </c>
      <c r="AI108" s="202">
        <f t="shared" si="2"/>
        <v>0</v>
      </c>
    </row>
    <row r="109" spans="2:35" x14ac:dyDescent="0.2">
      <c r="B109" s="9"/>
      <c r="C109" s="21" t="s">
        <v>49</v>
      </c>
      <c r="D109" s="1" t="s">
        <v>370</v>
      </c>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6"/>
    </row>
    <row r="110" spans="2:35" x14ac:dyDescent="0.2">
      <c r="B110" s="9"/>
      <c r="C110" s="21"/>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6"/>
    </row>
    <row r="111" spans="2:35" x14ac:dyDescent="0.2">
      <c r="B111" s="9"/>
      <c r="C111" s="21"/>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6"/>
    </row>
    <row r="112" spans="2:35" x14ac:dyDescent="0.2">
      <c r="B112" s="9"/>
      <c r="C112" s="21" t="s">
        <v>164</v>
      </c>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6"/>
    </row>
    <row r="113" spans="2:35" x14ac:dyDescent="0.2">
      <c r="B113" s="9"/>
      <c r="C113" s="21"/>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6"/>
    </row>
    <row r="114" spans="2:35" s="6" customFormat="1" x14ac:dyDescent="0.2">
      <c r="B114" s="10" t="s">
        <v>463</v>
      </c>
      <c r="C114" s="93"/>
      <c r="D114" s="10"/>
      <c r="E114" s="94"/>
      <c r="F114" s="94">
        <f t="shared" ref="F114:AI114" si="3">F108-F86-F80</f>
        <v>0</v>
      </c>
      <c r="G114" s="94">
        <f t="shared" si="3"/>
        <v>0</v>
      </c>
      <c r="H114" s="94">
        <f t="shared" si="3"/>
        <v>0</v>
      </c>
      <c r="I114" s="94">
        <f t="shared" si="3"/>
        <v>0</v>
      </c>
      <c r="J114" s="94">
        <f t="shared" si="3"/>
        <v>0</v>
      </c>
      <c r="K114" s="94">
        <f t="shared" si="3"/>
        <v>0</v>
      </c>
      <c r="L114" s="94">
        <f t="shared" si="3"/>
        <v>0</v>
      </c>
      <c r="M114" s="94">
        <f t="shared" si="3"/>
        <v>0</v>
      </c>
      <c r="N114" s="94">
        <f t="shared" si="3"/>
        <v>0</v>
      </c>
      <c r="O114" s="94">
        <f t="shared" si="3"/>
        <v>0</v>
      </c>
      <c r="P114" s="94">
        <f t="shared" si="3"/>
        <v>0</v>
      </c>
      <c r="Q114" s="94">
        <f t="shared" si="3"/>
        <v>0</v>
      </c>
      <c r="R114" s="94">
        <f t="shared" si="3"/>
        <v>0</v>
      </c>
      <c r="S114" s="94">
        <f t="shared" si="3"/>
        <v>0</v>
      </c>
      <c r="T114" s="94">
        <f t="shared" si="3"/>
        <v>0</v>
      </c>
      <c r="U114" s="94">
        <f t="shared" si="3"/>
        <v>0</v>
      </c>
      <c r="V114" s="94">
        <f t="shared" si="3"/>
        <v>0</v>
      </c>
      <c r="W114" s="94">
        <f t="shared" si="3"/>
        <v>0</v>
      </c>
      <c r="X114" s="94">
        <f t="shared" si="3"/>
        <v>0</v>
      </c>
      <c r="Y114" s="94">
        <f t="shared" si="3"/>
        <v>0</v>
      </c>
      <c r="Z114" s="94">
        <f t="shared" si="3"/>
        <v>0</v>
      </c>
      <c r="AA114" s="94">
        <f t="shared" si="3"/>
        <v>0</v>
      </c>
      <c r="AB114" s="94">
        <f t="shared" si="3"/>
        <v>0</v>
      </c>
      <c r="AC114" s="94">
        <f t="shared" si="3"/>
        <v>0</v>
      </c>
      <c r="AD114" s="94">
        <f t="shared" si="3"/>
        <v>0</v>
      </c>
      <c r="AE114" s="94">
        <f t="shared" si="3"/>
        <v>0</v>
      </c>
      <c r="AF114" s="94">
        <f t="shared" si="3"/>
        <v>0</v>
      </c>
      <c r="AG114" s="94">
        <f t="shared" si="3"/>
        <v>0</v>
      </c>
      <c r="AH114" s="94">
        <f t="shared" si="3"/>
        <v>0</v>
      </c>
      <c r="AI114" s="207">
        <f t="shared" si="3"/>
        <v>0</v>
      </c>
    </row>
    <row r="115" spans="2:35" x14ac:dyDescent="0.2">
      <c r="B115" s="8" t="s">
        <v>464</v>
      </c>
      <c r="C115" s="21" t="s">
        <v>49</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6"/>
    </row>
    <row r="116" spans="2:35" x14ac:dyDescent="0.2">
      <c r="B116" s="9"/>
      <c r="C116" s="21" t="s">
        <v>49</v>
      </c>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6"/>
    </row>
    <row r="117" spans="2:35" x14ac:dyDescent="0.2">
      <c r="B117" s="9"/>
      <c r="C117" s="21"/>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6"/>
    </row>
    <row r="118" spans="2:35" x14ac:dyDescent="0.2">
      <c r="B118" s="9"/>
      <c r="C118" s="21"/>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6"/>
    </row>
    <row r="119" spans="2:35" x14ac:dyDescent="0.2">
      <c r="B119" s="9"/>
      <c r="C119" s="21"/>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6"/>
    </row>
    <row r="120" spans="2:35" x14ac:dyDescent="0.2">
      <c r="B120" s="44" t="s">
        <v>465</v>
      </c>
      <c r="C120" s="21"/>
      <c r="D120" s="9"/>
      <c r="E120" s="208"/>
      <c r="F120" s="208">
        <f>SUM(F115:F119)</f>
        <v>0</v>
      </c>
      <c r="G120" s="208">
        <f t="shared" ref="G120:AI120" si="4">SUM(G115:G119)</f>
        <v>0</v>
      </c>
      <c r="H120" s="208">
        <f t="shared" si="4"/>
        <v>0</v>
      </c>
      <c r="I120" s="208">
        <f t="shared" si="4"/>
        <v>0</v>
      </c>
      <c r="J120" s="208">
        <f t="shared" si="4"/>
        <v>0</v>
      </c>
      <c r="K120" s="208">
        <f t="shared" si="4"/>
        <v>0</v>
      </c>
      <c r="L120" s="208">
        <f t="shared" si="4"/>
        <v>0</v>
      </c>
      <c r="M120" s="208">
        <f t="shared" si="4"/>
        <v>0</v>
      </c>
      <c r="N120" s="208">
        <f t="shared" si="4"/>
        <v>0</v>
      </c>
      <c r="O120" s="208">
        <f t="shared" si="4"/>
        <v>0</v>
      </c>
      <c r="P120" s="208">
        <f t="shared" si="4"/>
        <v>0</v>
      </c>
      <c r="Q120" s="208">
        <f t="shared" si="4"/>
        <v>0</v>
      </c>
      <c r="R120" s="208">
        <f t="shared" si="4"/>
        <v>0</v>
      </c>
      <c r="S120" s="208">
        <f t="shared" si="4"/>
        <v>0</v>
      </c>
      <c r="T120" s="208">
        <f t="shared" si="4"/>
        <v>0</v>
      </c>
      <c r="U120" s="208">
        <f t="shared" si="4"/>
        <v>0</v>
      </c>
      <c r="V120" s="208">
        <f t="shared" si="4"/>
        <v>0</v>
      </c>
      <c r="W120" s="208">
        <f t="shared" si="4"/>
        <v>0</v>
      </c>
      <c r="X120" s="208">
        <f t="shared" si="4"/>
        <v>0</v>
      </c>
      <c r="Y120" s="208">
        <f t="shared" si="4"/>
        <v>0</v>
      </c>
      <c r="Z120" s="208">
        <f t="shared" si="4"/>
        <v>0</v>
      </c>
      <c r="AA120" s="208">
        <f t="shared" si="4"/>
        <v>0</v>
      </c>
      <c r="AB120" s="208">
        <f t="shared" si="4"/>
        <v>0</v>
      </c>
      <c r="AC120" s="208">
        <f t="shared" si="4"/>
        <v>0</v>
      </c>
      <c r="AD120" s="208">
        <f t="shared" si="4"/>
        <v>0</v>
      </c>
      <c r="AE120" s="208">
        <f t="shared" si="4"/>
        <v>0</v>
      </c>
      <c r="AF120" s="208">
        <f t="shared" si="4"/>
        <v>0</v>
      </c>
      <c r="AG120" s="208">
        <f t="shared" si="4"/>
        <v>0</v>
      </c>
      <c r="AH120" s="208">
        <f t="shared" si="4"/>
        <v>0</v>
      </c>
      <c r="AI120" s="209">
        <f t="shared" si="4"/>
        <v>0</v>
      </c>
    </row>
    <row r="121" spans="2:35" x14ac:dyDescent="0.2">
      <c r="B121" s="44" t="s">
        <v>466</v>
      </c>
      <c r="C121" s="9"/>
      <c r="E121" s="203" cm="1">
        <f t="array" ref="E121">e_debt_ratio*'2. Pathway 2'!E80</f>
        <v>0</v>
      </c>
      <c r="F121" s="203" cm="1">
        <f t="array" ref="F121">IF(F79&gt;e_ecolifetime_yr,0,E121*e_interestrate)</f>
        <v>0</v>
      </c>
      <c r="G121" s="203" cm="1">
        <f t="array" ref="G121">IF(G79&gt;e_ecolifetime_yr,0,($E$121-(F122*F79))*e_interestrate)</f>
        <v>0</v>
      </c>
      <c r="H121" s="203" cm="1">
        <f t="array" ref="H121">IF(H79&gt;e_ecolifetime_yr,0,($E$121-(G122*G79))*e_interestrate)</f>
        <v>0</v>
      </c>
      <c r="I121" s="203" cm="1">
        <f t="array" ref="I121">IF(I79&gt;e_ecolifetime_yr,0,($E$121-(H122*H79))*e_interestrate)</f>
        <v>0</v>
      </c>
      <c r="J121" s="203" cm="1">
        <f t="array" ref="J121">IF(J79&gt;e_ecolifetime_yr,0,($E$121-(I122*I79))*e_interestrate)</f>
        <v>0</v>
      </c>
      <c r="K121" s="203" cm="1">
        <f t="array" ref="K121">IF(K79&gt;e_ecolifetime_yr,0,($E$121-(J122*J79))*e_interestrate)</f>
        <v>0</v>
      </c>
      <c r="L121" s="203" cm="1">
        <f t="array" ref="L121">IF(L79&gt;e_ecolifetime_yr,0,($E$121-(K122*K79))*e_interestrate)</f>
        <v>0</v>
      </c>
      <c r="M121" s="203" cm="1">
        <f t="array" ref="M121">IF(M79&gt;e_ecolifetime_yr,0,($E$121-(L122*L79))*e_interestrate)</f>
        <v>0</v>
      </c>
      <c r="N121" s="203" cm="1">
        <f t="array" ref="N121">IF(N79&gt;e_ecolifetime_yr,0,($E$121-(M122*M79))*e_interestrate)</f>
        <v>0</v>
      </c>
      <c r="O121" s="203" cm="1">
        <f t="array" ref="O121">IF(O79&gt;e_ecolifetime_yr,0,($E$121-(N122*N79))*e_interestrate)</f>
        <v>0</v>
      </c>
      <c r="P121" s="203" cm="1">
        <f t="array" ref="P121">IF(P79&gt;e_ecolifetime_yr,0,($E$121-(O122*O79))*e_interestrate)</f>
        <v>0</v>
      </c>
      <c r="Q121" s="203" cm="1">
        <f t="array" ref="Q121">IF(Q79&gt;e_ecolifetime_yr,0,($E$121-(P122*P79))*e_interestrate)</f>
        <v>0</v>
      </c>
      <c r="R121" s="203" cm="1">
        <f t="array" ref="R121">IF(R79&gt;e_ecolifetime_yr,0,($E$121-(Q122*Q79))*e_interestrate)</f>
        <v>0</v>
      </c>
      <c r="S121" s="203" cm="1">
        <f t="array" ref="S121">IF(S79&gt;e_ecolifetime_yr,0,($E$121-(R122*R79))*e_interestrate)</f>
        <v>0</v>
      </c>
      <c r="T121" s="203" cm="1">
        <f t="array" ref="T121">IF(T79&gt;e_ecolifetime_yr,0,($E$121-(S122*S79))*e_interestrate)</f>
        <v>0</v>
      </c>
      <c r="U121" s="203" cm="1">
        <f t="array" ref="U121">IF(U79&gt;e_ecolifetime_yr,0,($E$121-(T122*T79))*e_interestrate)</f>
        <v>0</v>
      </c>
      <c r="V121" s="203" cm="1">
        <f t="array" ref="V121">IF(V79&gt;e_ecolifetime_yr,0,($E$121-(U122*U79))*e_interestrate)</f>
        <v>0</v>
      </c>
      <c r="W121" s="203" cm="1">
        <f t="array" ref="W121">IF(W79&gt;e_ecolifetime_yr,0,($E$121-(V122*V79))*e_interestrate)</f>
        <v>0</v>
      </c>
      <c r="X121" s="203" cm="1">
        <f t="array" ref="X121">IF(X79&gt;e_ecolifetime_yr,0,($E$121-(W122*W79))*e_interestrate)</f>
        <v>0</v>
      </c>
      <c r="Y121" s="203" cm="1">
        <f t="array" ref="Y121">IF(Y79&gt;e_ecolifetime_yr,0,($E$121-(X122*X79))*e_interestrate)</f>
        <v>0</v>
      </c>
      <c r="Z121" s="203" cm="1">
        <f t="array" ref="Z121">IF(Z79&gt;e_ecolifetime_yr,0,($E$121-(Y122*Y79))*e_interestrate)</f>
        <v>0</v>
      </c>
      <c r="AA121" s="203" cm="1">
        <f t="array" ref="AA121">IF(AA79&gt;e_ecolifetime_yr,0,($E$121-(Z122*Z79))*e_interestrate)</f>
        <v>0</v>
      </c>
      <c r="AB121" s="203" cm="1">
        <f t="array" ref="AB121">IF(AB79&gt;e_ecolifetime_yr,0,($E$121-(AA122*AA79))*e_interestrate)</f>
        <v>0</v>
      </c>
      <c r="AC121" s="203" cm="1">
        <f t="array" ref="AC121">IF(AC79&gt;e_ecolifetime_yr,0,($E$121-(AB122*AB79))*e_interestrate)</f>
        <v>0</v>
      </c>
      <c r="AD121" s="203" cm="1">
        <f t="array" ref="AD121">IF(AD79&gt;e_ecolifetime_yr,0,($E$121-(AC122*AC79))*e_interestrate)</f>
        <v>0</v>
      </c>
      <c r="AE121" s="203" cm="1">
        <f t="array" ref="AE121">IF(AE79&gt;e_ecolifetime_yr,0,($E$121-(AD122*AD79))*e_interestrate)</f>
        <v>0</v>
      </c>
      <c r="AF121" s="203" cm="1">
        <f t="array" ref="AF121">IF(AF79&gt;e_ecolifetime_yr,0,($E$121-(AE122*AE79))*e_interestrate)</f>
        <v>0</v>
      </c>
      <c r="AG121" s="203" cm="1">
        <f t="array" ref="AG121">IF(AG79&gt;e_ecolifetime_yr,0,($E$121-(AF122*AF79))*e_interestrate)</f>
        <v>0</v>
      </c>
      <c r="AH121" s="203" cm="1">
        <f t="array" ref="AH121">IF(AH79&gt;e_ecolifetime_yr,0,($E$121-(AG122*AG79))*e_interestrate)</f>
        <v>0</v>
      </c>
      <c r="AI121" s="206" cm="1">
        <f t="array" ref="AI121">IF(AI79&gt;e_ecolifetime_yr,0,($E$121-(AH122*AH79))*e_interestrate)</f>
        <v>0</v>
      </c>
    </row>
    <row r="122" spans="2:35" x14ac:dyDescent="0.2">
      <c r="B122" s="44" t="s">
        <v>467</v>
      </c>
      <c r="C122" s="9"/>
      <c r="E122" s="203"/>
      <c r="F122" s="203" cm="1">
        <f t="array" ref="F122">IF(F79&gt;e_ecolifetime_yr,0,$E$121/e_ecolifetime_yr)</f>
        <v>0</v>
      </c>
      <c r="G122" s="203" cm="1">
        <f t="array" ref="G122">IF(G79&gt;e_ecolifetime_yr,0,$E$121/e_ecolifetime_yr)</f>
        <v>0</v>
      </c>
      <c r="H122" s="203" cm="1">
        <f t="array" ref="H122">IF(H79&gt;e_ecolifetime_yr,0,$E$121/e_ecolifetime_yr)</f>
        <v>0</v>
      </c>
      <c r="I122" s="203" cm="1">
        <f t="array" ref="I122">IF(I79&gt;e_ecolifetime_yr,0,$E$121/e_ecolifetime_yr)</f>
        <v>0</v>
      </c>
      <c r="J122" s="203" cm="1">
        <f t="array" ref="J122">IF(J79&gt;e_ecolifetime_yr,0,$E$121/e_ecolifetime_yr)</f>
        <v>0</v>
      </c>
      <c r="K122" s="203" cm="1">
        <f t="array" ref="K122">IF(K79&gt;e_ecolifetime_yr,0,$E$121/e_ecolifetime_yr)</f>
        <v>0</v>
      </c>
      <c r="L122" s="203" cm="1">
        <f t="array" ref="L122">IF(L79&gt;e_ecolifetime_yr,0,$E$121/e_ecolifetime_yr)</f>
        <v>0</v>
      </c>
      <c r="M122" s="203" cm="1">
        <f t="array" ref="M122">IF(M79&gt;e_ecolifetime_yr,0,$E$121/e_ecolifetime_yr)</f>
        <v>0</v>
      </c>
      <c r="N122" s="203" cm="1">
        <f t="array" ref="N122">IF(N79&gt;e_ecolifetime_yr,0,$E$121/e_ecolifetime_yr)</f>
        <v>0</v>
      </c>
      <c r="O122" s="203" cm="1">
        <f t="array" ref="O122">IF(O79&gt;e_ecolifetime_yr,0,$E$121/e_ecolifetime_yr)</f>
        <v>0</v>
      </c>
      <c r="P122" s="203" cm="1">
        <f t="array" ref="P122">IF(P79&gt;e_ecolifetime_yr,0,$E$121/e_ecolifetime_yr)</f>
        <v>0</v>
      </c>
      <c r="Q122" s="203" cm="1">
        <f t="array" ref="Q122">IF(Q79&gt;e_ecolifetime_yr,0,$E$121/e_ecolifetime_yr)</f>
        <v>0</v>
      </c>
      <c r="R122" s="203" cm="1">
        <f t="array" ref="R122">IF(R79&gt;e_ecolifetime_yr,0,$E$121/e_ecolifetime_yr)</f>
        <v>0</v>
      </c>
      <c r="S122" s="203" cm="1">
        <f t="array" ref="S122">IF(S79&gt;e_ecolifetime_yr,0,$E$121/e_ecolifetime_yr)</f>
        <v>0</v>
      </c>
      <c r="T122" s="203" cm="1">
        <f t="array" ref="T122">IF(T79&gt;e_ecolifetime_yr,0,$E$121/e_ecolifetime_yr)</f>
        <v>0</v>
      </c>
      <c r="U122" s="203" cm="1">
        <f t="array" ref="U122">IF(U79&gt;e_ecolifetime_yr,0,$E$121/e_ecolifetime_yr)</f>
        <v>0</v>
      </c>
      <c r="V122" s="203" cm="1">
        <f t="array" ref="V122">IF(V79&gt;e_ecolifetime_yr,0,$E$121/e_ecolifetime_yr)</f>
        <v>0</v>
      </c>
      <c r="W122" s="203" cm="1">
        <f t="array" ref="W122">IF(W79&gt;e_ecolifetime_yr,0,$E$121/e_ecolifetime_yr)</f>
        <v>0</v>
      </c>
      <c r="X122" s="203" cm="1">
        <f t="array" ref="X122">IF(X79&gt;e_ecolifetime_yr,0,$E$121/e_ecolifetime_yr)</f>
        <v>0</v>
      </c>
      <c r="Y122" s="203" cm="1">
        <f t="array" ref="Y122">IF(Y79&gt;e_ecolifetime_yr,0,$E$121/e_ecolifetime_yr)</f>
        <v>0</v>
      </c>
      <c r="Z122" s="203" cm="1">
        <f t="array" ref="Z122">IF(Z79&gt;e_ecolifetime_yr,0,$E$121/e_ecolifetime_yr)</f>
        <v>0</v>
      </c>
      <c r="AA122" s="203" cm="1">
        <f t="array" ref="AA122">IF(AA79&gt;e_ecolifetime_yr,0,$E$121/e_ecolifetime_yr)</f>
        <v>0</v>
      </c>
      <c r="AB122" s="203" cm="1">
        <f t="array" ref="AB122">IF(AB79&gt;e_ecolifetime_yr,0,$E$121/e_ecolifetime_yr)</f>
        <v>0</v>
      </c>
      <c r="AC122" s="203" cm="1">
        <f t="array" ref="AC122">IF(AC79&gt;e_ecolifetime_yr,0,$E$121/e_ecolifetime_yr)</f>
        <v>0</v>
      </c>
      <c r="AD122" s="203" cm="1">
        <f t="array" ref="AD122">IF(AD79&gt;e_ecolifetime_yr,0,$E$121/e_ecolifetime_yr)</f>
        <v>0</v>
      </c>
      <c r="AE122" s="203" cm="1">
        <f t="array" ref="AE122">IF(AE79&gt;e_ecolifetime_yr,0,$E$121/e_ecolifetime_yr)</f>
        <v>0</v>
      </c>
      <c r="AF122" s="203" cm="1">
        <f t="array" ref="AF122">IF(AF79&gt;e_ecolifetime_yr,0,$E$121/e_ecolifetime_yr)</f>
        <v>0</v>
      </c>
      <c r="AG122" s="203" cm="1">
        <f t="array" ref="AG122">IF(AG79&gt;e_ecolifetime_yr,0,$E$121/e_ecolifetime_yr)</f>
        <v>0</v>
      </c>
      <c r="AH122" s="203" cm="1">
        <f t="array" ref="AH122">IF(AH79&gt;e_ecolifetime_yr,0,$E$121/e_ecolifetime_yr)</f>
        <v>0</v>
      </c>
      <c r="AI122" s="206" cm="1">
        <f t="array" ref="AI122">IF(AI79&gt;e_ecolifetime_yr,0,$E$121/e_ecolifetime_yr)</f>
        <v>0</v>
      </c>
    </row>
    <row r="123" spans="2:35" x14ac:dyDescent="0.2">
      <c r="B123" s="211" t="s">
        <v>468</v>
      </c>
      <c r="C123" s="47"/>
      <c r="D123" s="47"/>
      <c r="E123" s="212"/>
      <c r="F123" s="212">
        <f>IF(F114-F120&gt;0,F114-F120,0)</f>
        <v>0</v>
      </c>
      <c r="G123" s="212">
        <f t="shared" ref="G123:AI123" si="5">IF(G114-G120&gt;0,G114-G120,0)</f>
        <v>0</v>
      </c>
      <c r="H123" s="212">
        <f t="shared" si="5"/>
        <v>0</v>
      </c>
      <c r="I123" s="212">
        <f t="shared" si="5"/>
        <v>0</v>
      </c>
      <c r="J123" s="212">
        <f t="shared" si="5"/>
        <v>0</v>
      </c>
      <c r="K123" s="212">
        <f t="shared" si="5"/>
        <v>0</v>
      </c>
      <c r="L123" s="212">
        <f t="shared" si="5"/>
        <v>0</v>
      </c>
      <c r="M123" s="212">
        <f t="shared" si="5"/>
        <v>0</v>
      </c>
      <c r="N123" s="212">
        <f t="shared" si="5"/>
        <v>0</v>
      </c>
      <c r="O123" s="212">
        <f t="shared" si="5"/>
        <v>0</v>
      </c>
      <c r="P123" s="212">
        <f t="shared" si="5"/>
        <v>0</v>
      </c>
      <c r="Q123" s="212">
        <f t="shared" si="5"/>
        <v>0</v>
      </c>
      <c r="R123" s="212">
        <f t="shared" si="5"/>
        <v>0</v>
      </c>
      <c r="S123" s="212">
        <f t="shared" si="5"/>
        <v>0</v>
      </c>
      <c r="T123" s="212">
        <f t="shared" si="5"/>
        <v>0</v>
      </c>
      <c r="U123" s="212">
        <f t="shared" si="5"/>
        <v>0</v>
      </c>
      <c r="V123" s="212">
        <f t="shared" si="5"/>
        <v>0</v>
      </c>
      <c r="W123" s="212">
        <f t="shared" si="5"/>
        <v>0</v>
      </c>
      <c r="X123" s="212">
        <f t="shared" si="5"/>
        <v>0</v>
      </c>
      <c r="Y123" s="212">
        <f t="shared" si="5"/>
        <v>0</v>
      </c>
      <c r="Z123" s="212">
        <f t="shared" si="5"/>
        <v>0</v>
      </c>
      <c r="AA123" s="212">
        <f t="shared" si="5"/>
        <v>0</v>
      </c>
      <c r="AB123" s="212">
        <f t="shared" si="5"/>
        <v>0</v>
      </c>
      <c r="AC123" s="212">
        <f t="shared" si="5"/>
        <v>0</v>
      </c>
      <c r="AD123" s="212">
        <f t="shared" si="5"/>
        <v>0</v>
      </c>
      <c r="AE123" s="212">
        <f t="shared" si="5"/>
        <v>0</v>
      </c>
      <c r="AF123" s="212">
        <f t="shared" si="5"/>
        <v>0</v>
      </c>
      <c r="AG123" s="212">
        <f t="shared" si="5"/>
        <v>0</v>
      </c>
      <c r="AH123" s="212">
        <f t="shared" si="5"/>
        <v>0</v>
      </c>
      <c r="AI123" s="213">
        <f t="shared" si="5"/>
        <v>0</v>
      </c>
    </row>
    <row r="124" spans="2:35" x14ac:dyDescent="0.2">
      <c r="B124" s="44" t="s">
        <v>469</v>
      </c>
      <c r="C124" s="9"/>
      <c r="D124" s="9"/>
      <c r="E124" s="208"/>
      <c r="F124" s="208">
        <f>F114-F121-F122</f>
        <v>0</v>
      </c>
      <c r="G124" s="208">
        <f t="shared" ref="G124:AI124" si="6">G114-G121-G122</f>
        <v>0</v>
      </c>
      <c r="H124" s="208">
        <f t="shared" si="6"/>
        <v>0</v>
      </c>
      <c r="I124" s="208">
        <f t="shared" si="6"/>
        <v>0</v>
      </c>
      <c r="J124" s="208">
        <f t="shared" si="6"/>
        <v>0</v>
      </c>
      <c r="K124" s="208">
        <f t="shared" si="6"/>
        <v>0</v>
      </c>
      <c r="L124" s="208">
        <f t="shared" si="6"/>
        <v>0</v>
      </c>
      <c r="M124" s="208">
        <f t="shared" si="6"/>
        <v>0</v>
      </c>
      <c r="N124" s="208">
        <f t="shared" si="6"/>
        <v>0</v>
      </c>
      <c r="O124" s="208">
        <f t="shared" si="6"/>
        <v>0</v>
      </c>
      <c r="P124" s="208">
        <f t="shared" si="6"/>
        <v>0</v>
      </c>
      <c r="Q124" s="208">
        <f t="shared" si="6"/>
        <v>0</v>
      </c>
      <c r="R124" s="208">
        <f t="shared" si="6"/>
        <v>0</v>
      </c>
      <c r="S124" s="208">
        <f t="shared" si="6"/>
        <v>0</v>
      </c>
      <c r="T124" s="208">
        <f t="shared" si="6"/>
        <v>0</v>
      </c>
      <c r="U124" s="208">
        <f t="shared" si="6"/>
        <v>0</v>
      </c>
      <c r="V124" s="208">
        <f t="shared" si="6"/>
        <v>0</v>
      </c>
      <c r="W124" s="208">
        <f t="shared" si="6"/>
        <v>0</v>
      </c>
      <c r="X124" s="208">
        <f t="shared" si="6"/>
        <v>0</v>
      </c>
      <c r="Y124" s="208">
        <f t="shared" si="6"/>
        <v>0</v>
      </c>
      <c r="Z124" s="208">
        <f t="shared" si="6"/>
        <v>0</v>
      </c>
      <c r="AA124" s="208">
        <f t="shared" si="6"/>
        <v>0</v>
      </c>
      <c r="AB124" s="208">
        <f t="shared" si="6"/>
        <v>0</v>
      </c>
      <c r="AC124" s="208">
        <f t="shared" si="6"/>
        <v>0</v>
      </c>
      <c r="AD124" s="208">
        <f t="shared" si="6"/>
        <v>0</v>
      </c>
      <c r="AE124" s="208">
        <f t="shared" si="6"/>
        <v>0</v>
      </c>
      <c r="AF124" s="208">
        <f t="shared" si="6"/>
        <v>0</v>
      </c>
      <c r="AG124" s="208">
        <f t="shared" si="6"/>
        <v>0</v>
      </c>
      <c r="AH124" s="208">
        <f t="shared" si="6"/>
        <v>0</v>
      </c>
      <c r="AI124" s="209">
        <f t="shared" si="6"/>
        <v>0</v>
      </c>
    </row>
    <row r="125" spans="2:35" x14ac:dyDescent="0.2">
      <c r="B125" s="46" t="s">
        <v>470</v>
      </c>
      <c r="C125" s="11"/>
      <c r="D125" s="7"/>
      <c r="E125" s="95"/>
      <c r="F125" s="95" cm="1">
        <f t="array" ref="F125">F123*e_taxrate_BE</f>
        <v>0</v>
      </c>
      <c r="G125" s="95" cm="1">
        <f t="array" ref="G125">G123*e_taxrate_BE</f>
        <v>0</v>
      </c>
      <c r="H125" s="95" cm="1">
        <f t="array" ref="H125">H123*e_taxrate_BE</f>
        <v>0</v>
      </c>
      <c r="I125" s="95" cm="1">
        <f t="array" ref="I125">I123*e_taxrate_BE</f>
        <v>0</v>
      </c>
      <c r="J125" s="95" cm="1">
        <f t="array" ref="J125">J123*e_taxrate_BE</f>
        <v>0</v>
      </c>
      <c r="K125" s="95" cm="1">
        <f t="array" ref="K125">K123*e_taxrate_BE</f>
        <v>0</v>
      </c>
      <c r="L125" s="95" cm="1">
        <f t="array" ref="L125">L123*e_taxrate_BE</f>
        <v>0</v>
      </c>
      <c r="M125" s="95" cm="1">
        <f t="array" ref="M125">M123*e_taxrate_BE</f>
        <v>0</v>
      </c>
      <c r="N125" s="95" cm="1">
        <f t="array" ref="N125">N123*e_taxrate_BE</f>
        <v>0</v>
      </c>
      <c r="O125" s="95" cm="1">
        <f t="array" ref="O125">O123*e_taxrate_BE</f>
        <v>0</v>
      </c>
      <c r="P125" s="95" cm="1">
        <f t="array" ref="P125">P123*e_taxrate_BE</f>
        <v>0</v>
      </c>
      <c r="Q125" s="95" cm="1">
        <f t="array" ref="Q125">Q123*e_taxrate_BE</f>
        <v>0</v>
      </c>
      <c r="R125" s="95" cm="1">
        <f t="array" ref="R125">R123*e_taxrate_BE</f>
        <v>0</v>
      </c>
      <c r="S125" s="95" cm="1">
        <f t="array" ref="S125">S123*e_taxrate_BE</f>
        <v>0</v>
      </c>
      <c r="T125" s="95" cm="1">
        <f t="array" ref="T125">T123*e_taxrate_BE</f>
        <v>0</v>
      </c>
      <c r="U125" s="95" cm="1">
        <f t="array" ref="U125">U123*e_taxrate_BE</f>
        <v>0</v>
      </c>
      <c r="V125" s="95" cm="1">
        <f t="array" ref="V125">V123*e_taxrate_BE</f>
        <v>0</v>
      </c>
      <c r="W125" s="95" cm="1">
        <f t="array" ref="W125">W123*e_taxrate_BE</f>
        <v>0</v>
      </c>
      <c r="X125" s="95" cm="1">
        <f t="array" ref="X125">X123*e_taxrate_BE</f>
        <v>0</v>
      </c>
      <c r="Y125" s="95" cm="1">
        <f t="array" ref="Y125">Y123*e_taxrate_BE</f>
        <v>0</v>
      </c>
      <c r="Z125" s="95" cm="1">
        <f t="array" ref="Z125">Z123*e_taxrate_BE</f>
        <v>0</v>
      </c>
      <c r="AA125" s="95" cm="1">
        <f t="array" ref="AA125">AA123*e_taxrate_BE</f>
        <v>0</v>
      </c>
      <c r="AB125" s="95" cm="1">
        <f t="array" ref="AB125">AB123*e_taxrate_BE</f>
        <v>0</v>
      </c>
      <c r="AC125" s="95" cm="1">
        <f t="array" ref="AC125">AC123*e_taxrate_BE</f>
        <v>0</v>
      </c>
      <c r="AD125" s="95" cm="1">
        <f t="array" ref="AD125">AD123*e_taxrate_BE</f>
        <v>0</v>
      </c>
      <c r="AE125" s="95" cm="1">
        <f t="array" ref="AE125">AE123*e_taxrate_BE</f>
        <v>0</v>
      </c>
      <c r="AF125" s="95" cm="1">
        <f t="array" ref="AF125">AF123*e_taxrate_BE</f>
        <v>0</v>
      </c>
      <c r="AG125" s="95" cm="1">
        <f t="array" ref="AG125">AG123*e_taxrate_BE</f>
        <v>0</v>
      </c>
      <c r="AH125" s="95" cm="1">
        <f t="array" ref="AH125">AH123*e_taxrate_BE</f>
        <v>0</v>
      </c>
      <c r="AI125" s="210" cm="1">
        <f t="array" ref="AI125">AI123*e_taxrate_BE</f>
        <v>0</v>
      </c>
    </row>
    <row r="126" spans="2:35" x14ac:dyDescent="0.2">
      <c r="B126" s="44" t="s">
        <v>471</v>
      </c>
      <c r="C126" s="9"/>
      <c r="D126" s="9"/>
      <c r="E126" s="208">
        <f>-E80+E121</f>
        <v>0</v>
      </c>
      <c r="F126" s="208">
        <f>IF(F124&gt;0,F124-F125,F124)</f>
        <v>0</v>
      </c>
      <c r="G126" s="208">
        <f t="shared" ref="G126:AI126" si="7">IF(G124&gt;0,G124-G125,G124)</f>
        <v>0</v>
      </c>
      <c r="H126" s="208">
        <f t="shared" si="7"/>
        <v>0</v>
      </c>
      <c r="I126" s="208">
        <f t="shared" si="7"/>
        <v>0</v>
      </c>
      <c r="J126" s="208">
        <f t="shared" si="7"/>
        <v>0</v>
      </c>
      <c r="K126" s="208">
        <f t="shared" si="7"/>
        <v>0</v>
      </c>
      <c r="L126" s="208">
        <f t="shared" si="7"/>
        <v>0</v>
      </c>
      <c r="M126" s="208">
        <f t="shared" si="7"/>
        <v>0</v>
      </c>
      <c r="N126" s="208">
        <f t="shared" si="7"/>
        <v>0</v>
      </c>
      <c r="O126" s="208">
        <f t="shared" si="7"/>
        <v>0</v>
      </c>
      <c r="P126" s="208">
        <f t="shared" si="7"/>
        <v>0</v>
      </c>
      <c r="Q126" s="208">
        <f t="shared" si="7"/>
        <v>0</v>
      </c>
      <c r="R126" s="208">
        <f t="shared" si="7"/>
        <v>0</v>
      </c>
      <c r="S126" s="208">
        <f t="shared" si="7"/>
        <v>0</v>
      </c>
      <c r="T126" s="208">
        <f t="shared" si="7"/>
        <v>0</v>
      </c>
      <c r="U126" s="208">
        <f t="shared" si="7"/>
        <v>0</v>
      </c>
      <c r="V126" s="208">
        <f t="shared" si="7"/>
        <v>0</v>
      </c>
      <c r="W126" s="208">
        <f t="shared" si="7"/>
        <v>0</v>
      </c>
      <c r="X126" s="208">
        <f t="shared" si="7"/>
        <v>0</v>
      </c>
      <c r="Y126" s="208">
        <f t="shared" si="7"/>
        <v>0</v>
      </c>
      <c r="Z126" s="208">
        <f t="shared" si="7"/>
        <v>0</v>
      </c>
      <c r="AA126" s="208">
        <f t="shared" si="7"/>
        <v>0</v>
      </c>
      <c r="AB126" s="208">
        <f t="shared" si="7"/>
        <v>0</v>
      </c>
      <c r="AC126" s="208">
        <f t="shared" si="7"/>
        <v>0</v>
      </c>
      <c r="AD126" s="208">
        <f t="shared" si="7"/>
        <v>0</v>
      </c>
      <c r="AE126" s="208">
        <f t="shared" si="7"/>
        <v>0</v>
      </c>
      <c r="AF126" s="208">
        <f t="shared" si="7"/>
        <v>0</v>
      </c>
      <c r="AG126" s="208">
        <f t="shared" si="7"/>
        <v>0</v>
      </c>
      <c r="AH126" s="208">
        <f t="shared" si="7"/>
        <v>0</v>
      </c>
      <c r="AI126" s="209">
        <f t="shared" si="7"/>
        <v>0</v>
      </c>
    </row>
    <row r="127" spans="2:35" x14ac:dyDescent="0.2">
      <c r="B127" s="46" t="s">
        <v>472</v>
      </c>
      <c r="C127" s="11"/>
      <c r="D127" s="7"/>
      <c r="E127" s="95"/>
      <c r="F127" s="95" cm="1">
        <f t="array" ref="F127">F126/(1+e_WACC)^F79</f>
        <v>0</v>
      </c>
      <c r="G127" s="95" cm="1">
        <f t="array" ref="G127">G126/(1+e_WACC)^G79</f>
        <v>0</v>
      </c>
      <c r="H127" s="95" cm="1">
        <f t="array" ref="H127">H126/(1+e_WACC)^H79</f>
        <v>0</v>
      </c>
      <c r="I127" s="95" cm="1">
        <f t="array" ref="I127">I126/(1+e_WACC)^I79</f>
        <v>0</v>
      </c>
      <c r="J127" s="95" cm="1">
        <f t="array" ref="J127">J126/(1+e_WACC)^J79</f>
        <v>0</v>
      </c>
      <c r="K127" s="95" cm="1">
        <f t="array" ref="K127">K126/(1+e_WACC)^K79</f>
        <v>0</v>
      </c>
      <c r="L127" s="95" cm="1">
        <f t="array" ref="L127">L126/(1+e_WACC)^L79</f>
        <v>0</v>
      </c>
      <c r="M127" s="95" cm="1">
        <f t="array" ref="M127">M126/(1+e_WACC)^M79</f>
        <v>0</v>
      </c>
      <c r="N127" s="95" cm="1">
        <f t="array" ref="N127">N126/(1+e_WACC)^N79</f>
        <v>0</v>
      </c>
      <c r="O127" s="95" cm="1">
        <f t="array" ref="O127">O126/(1+e_WACC)^O79</f>
        <v>0</v>
      </c>
      <c r="P127" s="95" cm="1">
        <f t="array" ref="P127">P126/(1+e_WACC)^P79</f>
        <v>0</v>
      </c>
      <c r="Q127" s="95" cm="1">
        <f t="array" ref="Q127">Q126/(1+e_WACC)^Q79</f>
        <v>0</v>
      </c>
      <c r="R127" s="95" cm="1">
        <f t="array" ref="R127">R126/(1+e_WACC)^R79</f>
        <v>0</v>
      </c>
      <c r="S127" s="95" cm="1">
        <f t="array" ref="S127">S126/(1+e_WACC)^S79</f>
        <v>0</v>
      </c>
      <c r="T127" s="95" cm="1">
        <f t="array" ref="T127">T126/(1+e_WACC)^T79</f>
        <v>0</v>
      </c>
      <c r="U127" s="95" cm="1">
        <f t="array" ref="U127">U126/(1+e_WACC)^U79</f>
        <v>0</v>
      </c>
      <c r="V127" s="95" cm="1">
        <f t="array" ref="V127">V126/(1+e_WACC)^V79</f>
        <v>0</v>
      </c>
      <c r="W127" s="95" cm="1">
        <f t="array" ref="W127">W126/(1+e_WACC)^W79</f>
        <v>0</v>
      </c>
      <c r="X127" s="95" cm="1">
        <f t="array" ref="X127">X126/(1+e_WACC)^X79</f>
        <v>0</v>
      </c>
      <c r="Y127" s="95" cm="1">
        <f t="array" ref="Y127">Y126/(1+e_WACC)^Y79</f>
        <v>0</v>
      </c>
      <c r="Z127" s="95" cm="1">
        <f t="array" ref="Z127">Z126/(1+e_WACC)^Z79</f>
        <v>0</v>
      </c>
      <c r="AA127" s="95" cm="1">
        <f t="array" ref="AA127">AA126/(1+e_WACC)^AA79</f>
        <v>0</v>
      </c>
      <c r="AB127" s="95" cm="1">
        <f t="array" ref="AB127">AB126/(1+e_WACC)^AB79</f>
        <v>0</v>
      </c>
      <c r="AC127" s="95" cm="1">
        <f t="array" ref="AC127">AC126/(1+e_WACC)^AC79</f>
        <v>0</v>
      </c>
      <c r="AD127" s="95" cm="1">
        <f t="array" ref="AD127">AD126/(1+e_WACC)^AD79</f>
        <v>0</v>
      </c>
      <c r="AE127" s="95" cm="1">
        <f t="array" ref="AE127">AE126/(1+e_WACC)^AE79</f>
        <v>0</v>
      </c>
      <c r="AF127" s="95" cm="1">
        <f t="array" ref="AF127">AF126/(1+e_WACC)^AF79</f>
        <v>0</v>
      </c>
      <c r="AG127" s="95" cm="1">
        <f t="array" ref="AG127">AG126/(1+e_WACC)^AG79</f>
        <v>0</v>
      </c>
      <c r="AH127" s="95" cm="1">
        <f t="array" ref="AH127">AH126/(1+e_WACC)^AH79</f>
        <v>0</v>
      </c>
      <c r="AI127" s="210" cm="1">
        <f t="array" ref="AI127">AI126/(1+e_WACC)^AI79</f>
        <v>0</v>
      </c>
    </row>
    <row r="128" spans="2:35" x14ac:dyDescent="0.2">
      <c r="B128" s="44" t="s">
        <v>473</v>
      </c>
      <c r="C128" s="9"/>
      <c r="E128" s="203"/>
      <c r="F128" s="203">
        <f>E126+F126</f>
        <v>0</v>
      </c>
      <c r="G128" s="203">
        <f>F128+G126</f>
        <v>0</v>
      </c>
      <c r="H128" s="203">
        <f>G128+H126</f>
        <v>0</v>
      </c>
      <c r="I128" s="203">
        <f t="shared" ref="I128:AI129" si="8">H128+I126</f>
        <v>0</v>
      </c>
      <c r="J128" s="203">
        <f t="shared" si="8"/>
        <v>0</v>
      </c>
      <c r="K128" s="203">
        <f t="shared" si="8"/>
        <v>0</v>
      </c>
      <c r="L128" s="203">
        <f t="shared" si="8"/>
        <v>0</v>
      </c>
      <c r="M128" s="203">
        <f t="shared" si="8"/>
        <v>0</v>
      </c>
      <c r="N128" s="203">
        <f t="shared" si="8"/>
        <v>0</v>
      </c>
      <c r="O128" s="203">
        <f t="shared" si="8"/>
        <v>0</v>
      </c>
      <c r="P128" s="203">
        <f t="shared" si="8"/>
        <v>0</v>
      </c>
      <c r="Q128" s="203">
        <f t="shared" si="8"/>
        <v>0</v>
      </c>
      <c r="R128" s="203">
        <f t="shared" si="8"/>
        <v>0</v>
      </c>
      <c r="S128" s="203">
        <f t="shared" si="8"/>
        <v>0</v>
      </c>
      <c r="T128" s="203">
        <f t="shared" si="8"/>
        <v>0</v>
      </c>
      <c r="U128" s="203">
        <f t="shared" si="8"/>
        <v>0</v>
      </c>
      <c r="V128" s="203">
        <f t="shared" si="8"/>
        <v>0</v>
      </c>
      <c r="W128" s="203">
        <f t="shared" si="8"/>
        <v>0</v>
      </c>
      <c r="X128" s="203">
        <f t="shared" si="8"/>
        <v>0</v>
      </c>
      <c r="Y128" s="203">
        <f t="shared" si="8"/>
        <v>0</v>
      </c>
      <c r="Z128" s="203">
        <f t="shared" si="8"/>
        <v>0</v>
      </c>
      <c r="AA128" s="203">
        <f t="shared" si="8"/>
        <v>0</v>
      </c>
      <c r="AB128" s="203">
        <f t="shared" si="8"/>
        <v>0</v>
      </c>
      <c r="AC128" s="203">
        <f t="shared" si="8"/>
        <v>0</v>
      </c>
      <c r="AD128" s="203">
        <f t="shared" si="8"/>
        <v>0</v>
      </c>
      <c r="AE128" s="203">
        <f t="shared" si="8"/>
        <v>0</v>
      </c>
      <c r="AF128" s="203">
        <f t="shared" si="8"/>
        <v>0</v>
      </c>
      <c r="AG128" s="203">
        <f t="shared" si="8"/>
        <v>0</v>
      </c>
      <c r="AH128" s="203">
        <f t="shared" si="8"/>
        <v>0</v>
      </c>
      <c r="AI128" s="206">
        <f t="shared" si="8"/>
        <v>0</v>
      </c>
    </row>
    <row r="129" spans="2:35" x14ac:dyDescent="0.2">
      <c r="B129" s="44" t="s">
        <v>474</v>
      </c>
      <c r="C129" s="9"/>
      <c r="E129" s="203"/>
      <c r="F129" s="203">
        <f>E126+F127</f>
        <v>0</v>
      </c>
      <c r="G129" s="203">
        <f>F129+G127</f>
        <v>0</v>
      </c>
      <c r="H129" s="203">
        <f>G129+H127</f>
        <v>0</v>
      </c>
      <c r="I129" s="203">
        <f t="shared" si="8"/>
        <v>0</v>
      </c>
      <c r="J129" s="203">
        <f t="shared" si="8"/>
        <v>0</v>
      </c>
      <c r="K129" s="203">
        <f t="shared" si="8"/>
        <v>0</v>
      </c>
      <c r="L129" s="203">
        <f t="shared" si="8"/>
        <v>0</v>
      </c>
      <c r="M129" s="203">
        <f t="shared" si="8"/>
        <v>0</v>
      </c>
      <c r="N129" s="203">
        <f t="shared" si="8"/>
        <v>0</v>
      </c>
      <c r="O129" s="203">
        <f t="shared" si="8"/>
        <v>0</v>
      </c>
      <c r="P129" s="203">
        <f t="shared" si="8"/>
        <v>0</v>
      </c>
      <c r="Q129" s="203">
        <f t="shared" si="8"/>
        <v>0</v>
      </c>
      <c r="R129" s="203">
        <f t="shared" si="8"/>
        <v>0</v>
      </c>
      <c r="S129" s="203">
        <f t="shared" si="8"/>
        <v>0</v>
      </c>
      <c r="T129" s="203">
        <f t="shared" si="8"/>
        <v>0</v>
      </c>
      <c r="U129" s="203">
        <f t="shared" si="8"/>
        <v>0</v>
      </c>
      <c r="V129" s="203">
        <f t="shared" si="8"/>
        <v>0</v>
      </c>
      <c r="W129" s="203">
        <f t="shared" si="8"/>
        <v>0</v>
      </c>
      <c r="X129" s="203">
        <f t="shared" si="8"/>
        <v>0</v>
      </c>
      <c r="Y129" s="203">
        <f t="shared" si="8"/>
        <v>0</v>
      </c>
      <c r="Z129" s="203">
        <f t="shared" si="8"/>
        <v>0</v>
      </c>
      <c r="AA129" s="203">
        <f t="shared" si="8"/>
        <v>0</v>
      </c>
      <c r="AB129" s="203">
        <f t="shared" si="8"/>
        <v>0</v>
      </c>
      <c r="AC129" s="203">
        <f t="shared" si="8"/>
        <v>0</v>
      </c>
      <c r="AD129" s="203">
        <f t="shared" si="8"/>
        <v>0</v>
      </c>
      <c r="AE129" s="203">
        <f t="shared" si="8"/>
        <v>0</v>
      </c>
      <c r="AF129" s="203">
        <f t="shared" si="8"/>
        <v>0</v>
      </c>
      <c r="AG129" s="203">
        <f t="shared" si="8"/>
        <v>0</v>
      </c>
      <c r="AH129" s="203">
        <f t="shared" si="8"/>
        <v>0</v>
      </c>
      <c r="AI129" s="206">
        <f t="shared" si="8"/>
        <v>0</v>
      </c>
    </row>
    <row r="130" spans="2:35" x14ac:dyDescent="0.2">
      <c r="B130" s="44" t="s">
        <v>190</v>
      </c>
      <c r="C130" s="9"/>
      <c r="F130" s="1" t="e">
        <f>IF(F128&lt;0,1,-E126/F126)</f>
        <v>#DIV/0!</v>
      </c>
      <c r="G130" s="1" t="e">
        <f>IF(G128&lt;0,1,-F128/G126)</f>
        <v>#DIV/0!</v>
      </c>
      <c r="H130" s="1" t="e">
        <f>IF(H128&lt;0,1,-G128/H126)</f>
        <v>#DIV/0!</v>
      </c>
      <c r="I130" s="1" t="e">
        <f t="shared" ref="I130:AI131" si="9">IF(I128&lt;0,1,-H128/I126)</f>
        <v>#DIV/0!</v>
      </c>
      <c r="J130" s="1" t="e">
        <f t="shared" si="9"/>
        <v>#DIV/0!</v>
      </c>
      <c r="K130" s="1" t="e">
        <f t="shared" si="9"/>
        <v>#DIV/0!</v>
      </c>
      <c r="L130" s="1" t="e">
        <f t="shared" si="9"/>
        <v>#DIV/0!</v>
      </c>
      <c r="M130" s="1" t="e">
        <f t="shared" si="9"/>
        <v>#DIV/0!</v>
      </c>
      <c r="N130" s="1" t="e">
        <f t="shared" si="9"/>
        <v>#DIV/0!</v>
      </c>
      <c r="O130" s="1" t="e">
        <f t="shared" si="9"/>
        <v>#DIV/0!</v>
      </c>
      <c r="P130" s="1" t="e">
        <f t="shared" si="9"/>
        <v>#DIV/0!</v>
      </c>
      <c r="Q130" s="1" t="e">
        <f t="shared" si="9"/>
        <v>#DIV/0!</v>
      </c>
      <c r="R130" s="1" t="e">
        <f t="shared" si="9"/>
        <v>#DIV/0!</v>
      </c>
      <c r="S130" s="1" t="e">
        <f t="shared" si="9"/>
        <v>#DIV/0!</v>
      </c>
      <c r="T130" s="1" t="e">
        <f t="shared" si="9"/>
        <v>#DIV/0!</v>
      </c>
      <c r="U130" s="1" t="e">
        <f t="shared" si="9"/>
        <v>#DIV/0!</v>
      </c>
      <c r="V130" s="1" t="e">
        <f t="shared" si="9"/>
        <v>#DIV/0!</v>
      </c>
      <c r="W130" s="1" t="e">
        <f t="shared" si="9"/>
        <v>#DIV/0!</v>
      </c>
      <c r="X130" s="1" t="e">
        <f t="shared" si="9"/>
        <v>#DIV/0!</v>
      </c>
      <c r="Y130" s="1" t="e">
        <f t="shared" si="9"/>
        <v>#DIV/0!</v>
      </c>
      <c r="Z130" s="1" t="e">
        <f t="shared" si="9"/>
        <v>#DIV/0!</v>
      </c>
      <c r="AA130" s="1" t="e">
        <f t="shared" si="9"/>
        <v>#DIV/0!</v>
      </c>
      <c r="AB130" s="1" t="e">
        <f t="shared" si="9"/>
        <v>#DIV/0!</v>
      </c>
      <c r="AC130" s="1" t="e">
        <f t="shared" si="9"/>
        <v>#DIV/0!</v>
      </c>
      <c r="AD130" s="1" t="e">
        <f t="shared" si="9"/>
        <v>#DIV/0!</v>
      </c>
      <c r="AE130" s="1" t="e">
        <f t="shared" si="9"/>
        <v>#DIV/0!</v>
      </c>
      <c r="AF130" s="1" t="e">
        <f t="shared" si="9"/>
        <v>#DIV/0!</v>
      </c>
      <c r="AG130" s="1" t="e">
        <f t="shared" si="9"/>
        <v>#DIV/0!</v>
      </c>
      <c r="AH130" s="1" t="e">
        <f t="shared" si="9"/>
        <v>#DIV/0!</v>
      </c>
      <c r="AI130" s="48" t="e">
        <f t="shared" si="9"/>
        <v>#DIV/0!</v>
      </c>
    </row>
    <row r="131" spans="2:35" x14ac:dyDescent="0.2">
      <c r="B131" s="46" t="s">
        <v>192</v>
      </c>
      <c r="C131" s="11"/>
      <c r="D131" s="7"/>
      <c r="E131" s="7"/>
      <c r="F131" s="7" t="e">
        <f>IF(F129&lt;0,1,-E126/F127)</f>
        <v>#DIV/0!</v>
      </c>
      <c r="G131" s="7" t="e">
        <f>IF(G129&lt;0,1,-F129/G127)</f>
        <v>#DIV/0!</v>
      </c>
      <c r="H131" s="7" t="e">
        <f>IF(H129&lt;0,1,-G129/H127)</f>
        <v>#DIV/0!</v>
      </c>
      <c r="I131" s="7" t="e">
        <f t="shared" si="9"/>
        <v>#DIV/0!</v>
      </c>
      <c r="J131" s="7" t="e">
        <f t="shared" si="9"/>
        <v>#DIV/0!</v>
      </c>
      <c r="K131" s="7" t="e">
        <f t="shared" si="9"/>
        <v>#DIV/0!</v>
      </c>
      <c r="L131" s="7" t="e">
        <f t="shared" si="9"/>
        <v>#DIV/0!</v>
      </c>
      <c r="M131" s="7" t="e">
        <f t="shared" si="9"/>
        <v>#DIV/0!</v>
      </c>
      <c r="N131" s="7" t="e">
        <f t="shared" si="9"/>
        <v>#DIV/0!</v>
      </c>
      <c r="O131" s="7" t="e">
        <f t="shared" si="9"/>
        <v>#DIV/0!</v>
      </c>
      <c r="P131" s="7" t="e">
        <f t="shared" si="9"/>
        <v>#DIV/0!</v>
      </c>
      <c r="Q131" s="7" t="e">
        <f t="shared" si="9"/>
        <v>#DIV/0!</v>
      </c>
      <c r="R131" s="7" t="e">
        <f t="shared" si="9"/>
        <v>#DIV/0!</v>
      </c>
      <c r="S131" s="7" t="e">
        <f t="shared" si="9"/>
        <v>#DIV/0!</v>
      </c>
      <c r="T131" s="7" t="e">
        <f t="shared" si="9"/>
        <v>#DIV/0!</v>
      </c>
      <c r="U131" s="7" t="e">
        <f t="shared" si="9"/>
        <v>#DIV/0!</v>
      </c>
      <c r="V131" s="7" t="e">
        <f t="shared" si="9"/>
        <v>#DIV/0!</v>
      </c>
      <c r="W131" s="7" t="e">
        <f t="shared" si="9"/>
        <v>#DIV/0!</v>
      </c>
      <c r="X131" s="7" t="e">
        <f t="shared" si="9"/>
        <v>#DIV/0!</v>
      </c>
      <c r="Y131" s="7" t="e">
        <f t="shared" si="9"/>
        <v>#DIV/0!</v>
      </c>
      <c r="Z131" s="7" t="e">
        <f t="shared" si="9"/>
        <v>#DIV/0!</v>
      </c>
      <c r="AA131" s="7" t="e">
        <f t="shared" si="9"/>
        <v>#DIV/0!</v>
      </c>
      <c r="AB131" s="7" t="e">
        <f t="shared" si="9"/>
        <v>#DIV/0!</v>
      </c>
      <c r="AC131" s="7" t="e">
        <f t="shared" si="9"/>
        <v>#DIV/0!</v>
      </c>
      <c r="AD131" s="7" t="e">
        <f t="shared" si="9"/>
        <v>#DIV/0!</v>
      </c>
      <c r="AE131" s="7" t="e">
        <f t="shared" si="9"/>
        <v>#DIV/0!</v>
      </c>
      <c r="AF131" s="7" t="e">
        <f t="shared" si="9"/>
        <v>#DIV/0!</v>
      </c>
      <c r="AG131" s="7" t="e">
        <f t="shared" si="9"/>
        <v>#DIV/0!</v>
      </c>
      <c r="AH131" s="7" t="e">
        <f t="shared" si="9"/>
        <v>#DIV/0!</v>
      </c>
      <c r="AI131" s="49" t="e">
        <f t="shared" si="9"/>
        <v>#DIV/0!</v>
      </c>
    </row>
    <row r="134" spans="2:35" x14ac:dyDescent="0.2">
      <c r="B134" s="10" t="s">
        <v>475</v>
      </c>
      <c r="C134" s="170" t="s">
        <v>157</v>
      </c>
      <c r="D134" s="179" t="s">
        <v>434</v>
      </c>
    </row>
    <row r="135" spans="2:35" x14ac:dyDescent="0.2">
      <c r="B135" s="47" t="s">
        <v>188</v>
      </c>
      <c r="C135" s="2" t="s">
        <v>184</v>
      </c>
      <c r="D135" s="173" cm="1">
        <f t="array" ref="D135">NPV(e_WACC,F126:AI126)+E126</f>
        <v>0</v>
      </c>
    </row>
    <row r="136" spans="2:35" x14ac:dyDescent="0.2">
      <c r="B136" s="9" t="s">
        <v>189</v>
      </c>
      <c r="C136" s="2" t="s">
        <v>177</v>
      </c>
      <c r="D136" s="96" t="e">
        <f>IRR(E126:AI126)</f>
        <v>#NUM!</v>
      </c>
    </row>
    <row r="137" spans="2:35" x14ac:dyDescent="0.2">
      <c r="B137" s="9" t="s">
        <v>190</v>
      </c>
      <c r="C137" s="2" t="s">
        <v>191</v>
      </c>
      <c r="D137" s="97">
        <f>SUMIF(F130:AI130,"&gt;0")-SUMIF(F130:AI130,"&gt;1")</f>
        <v>0</v>
      </c>
    </row>
    <row r="138" spans="2:35" x14ac:dyDescent="0.2">
      <c r="B138" s="11" t="s">
        <v>192</v>
      </c>
      <c r="C138" s="133" t="s">
        <v>191</v>
      </c>
      <c r="D138" s="97">
        <f>SUMIF(F131:AI131,"&gt;0")-SUMIF(F131:AI131,"&gt;1")</f>
        <v>0</v>
      </c>
    </row>
    <row r="139" spans="2:35" x14ac:dyDescent="0.2">
      <c r="B139" s="70" t="s">
        <v>193</v>
      </c>
      <c r="C139" s="2" t="s">
        <v>186</v>
      </c>
      <c r="D139" s="173">
        <f>F86</f>
        <v>0</v>
      </c>
    </row>
    <row r="140" spans="2:35" x14ac:dyDescent="0.2">
      <c r="B140" s="20" t="s">
        <v>194</v>
      </c>
      <c r="C140" s="2" t="str">
        <f>'1. Pathway 1'!C140</f>
        <v>€/ton</v>
      </c>
      <c r="D140" s="188"/>
    </row>
    <row r="141" spans="2:35" x14ac:dyDescent="0.2">
      <c r="B141" s="98" t="s">
        <v>195</v>
      </c>
      <c r="C141" s="171" t="str">
        <f>'1. Pathway 1'!C141</f>
        <v>€/ton</v>
      </c>
      <c r="D141" s="189"/>
    </row>
    <row r="142" spans="2:35" x14ac:dyDescent="0.2">
      <c r="B142" s="142" t="s">
        <v>196</v>
      </c>
      <c r="C142" s="172" t="str">
        <f>'1. Pathway 1'!C142</f>
        <v>€/ton</v>
      </c>
      <c r="D142" s="190"/>
    </row>
    <row r="145" spans="2:8" x14ac:dyDescent="0.2">
      <c r="B145" s="193" t="s">
        <v>476</v>
      </c>
      <c r="C145" s="194"/>
      <c r="D145" s="194"/>
      <c r="E145" s="194"/>
      <c r="F145" s="194"/>
      <c r="G145" s="194"/>
      <c r="H145" s="198"/>
    </row>
    <row r="146" spans="2:8" x14ac:dyDescent="0.2">
      <c r="B146" s="195" t="s">
        <v>21</v>
      </c>
      <c r="C146" s="195" t="s">
        <v>156</v>
      </c>
      <c r="D146" s="195"/>
      <c r="E146" s="195" t="s">
        <v>157</v>
      </c>
      <c r="F146" s="195" t="s">
        <v>477</v>
      </c>
      <c r="G146" s="82" t="s">
        <v>443</v>
      </c>
      <c r="H146" s="199"/>
    </row>
    <row r="147" spans="2:8" x14ac:dyDescent="0.2">
      <c r="B147" s="196" t="s">
        <v>478</v>
      </c>
      <c r="C147" s="194"/>
      <c r="D147" s="194"/>
      <c r="E147" s="194"/>
      <c r="F147" s="194"/>
      <c r="G147" s="194"/>
      <c r="H147" s="198"/>
    </row>
    <row r="148" spans="2:8" x14ac:dyDescent="0.2">
      <c r="B148" s="87" t="s">
        <v>49</v>
      </c>
      <c r="C148" s="1" t="s">
        <v>444</v>
      </c>
      <c r="E148" s="1" t="str">
        <f>"kg CO2eq/" &amp; IF(Technology!$C$32="","FU",Technology!$C$32)</f>
        <v>kg CO2eq/FU</v>
      </c>
      <c r="F148" s="140"/>
      <c r="H148" s="48"/>
    </row>
    <row r="149" spans="2:8" x14ac:dyDescent="0.2">
      <c r="B149" s="87"/>
      <c r="C149" s="1" t="s">
        <v>445</v>
      </c>
      <c r="E149" s="1" t="str">
        <f>"kg CO2eq/" &amp; IF(Technology!$C$32="","FU",Technology!$C$32)</f>
        <v>kg CO2eq/FU</v>
      </c>
      <c r="F149" s="140"/>
      <c r="H149" s="48"/>
    </row>
    <row r="150" spans="2:8" x14ac:dyDescent="0.2">
      <c r="B150" s="87"/>
      <c r="C150" s="1" t="s">
        <v>223</v>
      </c>
      <c r="D150" s="1" t="s">
        <v>479</v>
      </c>
      <c r="E150" s="1" t="str">
        <f>"kg CO2eq/" &amp; IF(Technology!$C$32="","FU",Technology!$C$32)</f>
        <v>kg CO2eq/FU</v>
      </c>
      <c r="F150" s="140"/>
      <c r="H150" s="48"/>
    </row>
    <row r="151" spans="2:8" x14ac:dyDescent="0.2">
      <c r="B151" s="87"/>
      <c r="D151" s="1" t="s">
        <v>172</v>
      </c>
      <c r="E151" s="1" t="str">
        <f>"kg CO2eq/" &amp; IF(Technology!$C$32="","FU",Technology!$C$32)</f>
        <v>kg CO2eq/FU</v>
      </c>
      <c r="F151" s="140"/>
      <c r="H151" s="48"/>
    </row>
    <row r="152" spans="2:8" x14ac:dyDescent="0.2">
      <c r="B152" s="87"/>
      <c r="C152" s="1" t="s">
        <v>480</v>
      </c>
      <c r="E152" s="1" t="str">
        <f>"kg CO2eq/" &amp; IF(Technology!$C$32="","FU",Technology!$C$32)</f>
        <v>kg CO2eq/FU</v>
      </c>
      <c r="F152" s="140"/>
      <c r="H152" s="48"/>
    </row>
    <row r="153" spans="2:8" x14ac:dyDescent="0.2">
      <c r="B153" s="87"/>
      <c r="C153" s="1" t="s">
        <v>225</v>
      </c>
      <c r="E153" s="1" t="str">
        <f>"kg CO2eq/" &amp; IF(Technology!$C$32="","FU",Technology!$C$32)</f>
        <v>kg CO2eq/FU</v>
      </c>
      <c r="F153" s="140"/>
      <c r="H153" s="48"/>
    </row>
    <row r="154" spans="2:8" x14ac:dyDescent="0.2">
      <c r="B154" s="87"/>
      <c r="F154" s="140"/>
      <c r="H154" s="48"/>
    </row>
    <row r="155" spans="2:8" x14ac:dyDescent="0.2">
      <c r="B155" s="87" t="s">
        <v>49</v>
      </c>
      <c r="C155" s="1" t="s">
        <v>444</v>
      </c>
      <c r="E155" s="1" t="str">
        <f>"kg CO2eq/" &amp; IF(Technology!$C$32="","FU",Technology!$C$32)</f>
        <v>kg CO2eq/FU</v>
      </c>
      <c r="F155" s="140"/>
      <c r="H155" s="48"/>
    </row>
    <row r="156" spans="2:8" x14ac:dyDescent="0.2">
      <c r="B156" s="87"/>
      <c r="C156" s="1" t="s">
        <v>445</v>
      </c>
      <c r="E156" s="1" t="str">
        <f>"kg CO2eq/" &amp; IF(Technology!$C$32="","FU",Technology!$C$32)</f>
        <v>kg CO2eq/FU</v>
      </c>
      <c r="F156" s="140"/>
      <c r="H156" s="48"/>
    </row>
    <row r="157" spans="2:8" x14ac:dyDescent="0.2">
      <c r="B157" s="87"/>
      <c r="C157" s="1" t="s">
        <v>223</v>
      </c>
      <c r="D157" s="1" t="s">
        <v>170</v>
      </c>
      <c r="E157" s="1" t="str">
        <f>"kg CO2eq/" &amp; IF(Technology!$C$32="","FU",Technology!$C$32)</f>
        <v>kg CO2eq/FU</v>
      </c>
      <c r="F157" s="140"/>
      <c r="H157" s="48"/>
    </row>
    <row r="158" spans="2:8" x14ac:dyDescent="0.2">
      <c r="B158" s="87"/>
      <c r="D158" s="1" t="s">
        <v>172</v>
      </c>
      <c r="E158" s="1" t="str">
        <f>"kg CO2eq/" &amp; IF(Technology!$C$32="","FU",Technology!$C$32)</f>
        <v>kg CO2eq/FU</v>
      </c>
      <c r="F158" s="140"/>
      <c r="H158" s="48"/>
    </row>
    <row r="159" spans="2:8" x14ac:dyDescent="0.2">
      <c r="B159" s="87"/>
      <c r="C159" s="1" t="s">
        <v>480</v>
      </c>
      <c r="E159" s="1" t="str">
        <f>"kg CO2eq/" &amp; IF(Technology!$C$32="","FU",Technology!$C$32)</f>
        <v>kg CO2eq/FU</v>
      </c>
      <c r="F159" s="140"/>
      <c r="H159" s="48"/>
    </row>
    <row r="160" spans="2:8" x14ac:dyDescent="0.2">
      <c r="B160" s="87"/>
      <c r="C160" s="1" t="s">
        <v>225</v>
      </c>
      <c r="E160" s="1" t="str">
        <f>"kg CO2eq/" &amp; IF(Technology!$C$32="","FU",Technology!$C$32)</f>
        <v>kg CO2eq/FU</v>
      </c>
      <c r="F160" s="140"/>
      <c r="H160" s="48"/>
    </row>
    <row r="161" spans="2:8" x14ac:dyDescent="0.2">
      <c r="B161" s="87"/>
      <c r="F161" s="140"/>
      <c r="H161" s="48"/>
    </row>
    <row r="162" spans="2:8" x14ac:dyDescent="0.2">
      <c r="B162" s="82" t="s">
        <v>481</v>
      </c>
      <c r="C162" s="52"/>
      <c r="D162" s="52"/>
      <c r="E162" s="52"/>
      <c r="F162" s="192"/>
      <c r="G162" s="52"/>
      <c r="H162" s="199"/>
    </row>
    <row r="163" spans="2:8" x14ac:dyDescent="0.2">
      <c r="B163" s="87" t="s">
        <v>49</v>
      </c>
      <c r="C163" s="1" t="s">
        <v>444</v>
      </c>
      <c r="E163" s="1" t="str">
        <f>"kg CO2eq/" &amp; IF(Technology!$C$32="","FU",Technology!$C$32)</f>
        <v>kg CO2eq/FU</v>
      </c>
      <c r="F163" s="140"/>
      <c r="H163" s="48"/>
    </row>
    <row r="164" spans="2:8" x14ac:dyDescent="0.2">
      <c r="B164" s="87"/>
      <c r="C164" s="1" t="s">
        <v>445</v>
      </c>
      <c r="E164" s="1" t="str">
        <f>"kg CO2eq/" &amp; IF(Technology!$C$32="","FU",Technology!$C$32)</f>
        <v>kg CO2eq/FU</v>
      </c>
      <c r="F164" s="140"/>
      <c r="H164" s="48"/>
    </row>
    <row r="165" spans="2:8" x14ac:dyDescent="0.2">
      <c r="B165" s="87"/>
      <c r="C165" s="1" t="s">
        <v>223</v>
      </c>
      <c r="D165" s="1" t="s">
        <v>170</v>
      </c>
      <c r="E165" s="1" t="str">
        <f>"kg CO2eq/" &amp; IF(Technology!$C$32="","FU",Technology!$C$32)</f>
        <v>kg CO2eq/FU</v>
      </c>
      <c r="F165" s="140"/>
      <c r="H165" s="48"/>
    </row>
    <row r="166" spans="2:8" x14ac:dyDescent="0.2">
      <c r="B166" s="87"/>
      <c r="D166" s="1" t="s">
        <v>172</v>
      </c>
      <c r="E166" s="1" t="str">
        <f>"kg CO2eq/" &amp; IF(Technology!$C$32="","FU",Technology!$C$32)</f>
        <v>kg CO2eq/FU</v>
      </c>
      <c r="F166" s="140"/>
      <c r="H166" s="48"/>
    </row>
    <row r="167" spans="2:8" x14ac:dyDescent="0.2">
      <c r="B167" s="197"/>
      <c r="C167" s="7"/>
      <c r="D167" s="7"/>
      <c r="E167" s="7"/>
      <c r="F167" s="7"/>
      <c r="G167" s="7"/>
      <c r="H167" s="49"/>
    </row>
    <row r="171" spans="2:8" x14ac:dyDescent="0.2">
      <c r="B171" s="74" t="s">
        <v>451</v>
      </c>
      <c r="C171" s="177" t="s">
        <v>157</v>
      </c>
      <c r="D171" s="181" t="s">
        <v>434</v>
      </c>
    </row>
    <row r="172" spans="2:8" x14ac:dyDescent="0.2">
      <c r="B172" s="72" t="s">
        <v>482</v>
      </c>
      <c r="C172" s="174" t="str">
        <f>"ton CO2eq/" &amp; IF(Technology!C32="","FU",Technology!C32)</f>
        <v>ton CO2eq/FU</v>
      </c>
      <c r="D172" s="184"/>
    </row>
    <row r="173" spans="2:8" x14ac:dyDescent="0.2">
      <c r="B173" s="73" t="s">
        <v>483</v>
      </c>
      <c r="C173" s="176" t="str">
        <f>"ton CO2eq avoided/" &amp; IF(Technology!C32="","FU",Technology!C32)</f>
        <v>ton CO2eq avoided/FU</v>
      </c>
      <c r="D173" s="185"/>
    </row>
    <row r="174" spans="2:8" x14ac:dyDescent="0.2">
      <c r="B174" s="72" t="s">
        <v>197</v>
      </c>
      <c r="C174" s="187" t="str">
        <f>'1. Pathway 1'!C174</f>
        <v>ton CO2eq/FU</v>
      </c>
      <c r="D174" s="184">
        <f>D172-D173</f>
        <v>0</v>
      </c>
    </row>
    <row r="175" spans="2:8" x14ac:dyDescent="0.2">
      <c r="B175" s="73"/>
      <c r="C175" s="176" t="str">
        <f>'1. Pathway 1'!C175</f>
        <v>ton CO2eq/yr</v>
      </c>
      <c r="D175" s="185"/>
    </row>
    <row r="176" spans="2:8" ht="13.8" x14ac:dyDescent="0.3">
      <c r="B176" s="86" t="s">
        <v>198</v>
      </c>
      <c r="C176" s="224" t="str">
        <f>'1. Pathway 1'!C176</f>
        <v>ton CO2eq/FU</v>
      </c>
      <c r="D176" s="225">
        <f>D174-Technology!D15</f>
        <v>0</v>
      </c>
    </row>
    <row r="177" spans="1:4" x14ac:dyDescent="0.2">
      <c r="B177" s="73"/>
      <c r="C177" s="133" t="str">
        <f>'1. Pathway 1'!C177</f>
        <v>ton CO2eq/yr</v>
      </c>
      <c r="D177" s="226"/>
    </row>
    <row r="179" spans="1:4" x14ac:dyDescent="0.2">
      <c r="B179" s="128" t="s">
        <v>486</v>
      </c>
      <c r="C179" s="178" t="s">
        <v>157</v>
      </c>
      <c r="D179" s="182" t="s">
        <v>434</v>
      </c>
    </row>
    <row r="180" spans="1:4" x14ac:dyDescent="0.2">
      <c r="B180" s="127" t="s">
        <v>199</v>
      </c>
      <c r="C180" s="175" t="str">
        <f>'1. Pathway 1'!C180</f>
        <v>€/ton CO2eq avoided</v>
      </c>
      <c r="D180" s="186"/>
    </row>
    <row r="181" spans="1:4" ht="13.8" x14ac:dyDescent="0.3">
      <c r="B181" s="127" t="s">
        <v>488</v>
      </c>
      <c r="C181" s="175" t="str">
        <f>'1. Pathway 1'!C181</f>
        <v>MWh/ton CO2eq avoided</v>
      </c>
      <c r="D181" s="183"/>
    </row>
    <row r="183" spans="1:4" x14ac:dyDescent="0.2">
      <c r="B183" s="150"/>
    </row>
    <row r="184" spans="1:4" s="151" customFormat="1" x14ac:dyDescent="0.2">
      <c r="A184" s="1"/>
      <c r="B184" s="152" t="s">
        <v>490</v>
      </c>
      <c r="C184" s="153"/>
      <c r="D184" s="153"/>
    </row>
    <row r="195" spans="1:4" s="151" customFormat="1" x14ac:dyDescent="0.2">
      <c r="A195" s="1"/>
      <c r="B195" s="152" t="s">
        <v>491</v>
      </c>
      <c r="C195" s="153"/>
      <c r="D195" s="153"/>
    </row>
    <row r="205" spans="1:4" x14ac:dyDescent="0.2">
      <c r="B205" s="150"/>
    </row>
    <row r="207" spans="1:4" s="151" customFormat="1" x14ac:dyDescent="0.2">
      <c r="A207" s="1"/>
      <c r="B207" s="152" t="s">
        <v>492</v>
      </c>
      <c r="C207" s="153"/>
      <c r="D207" s="153"/>
    </row>
  </sheetData>
  <mergeCells count="1">
    <mergeCell ref="E78:AI78"/>
  </mergeCells>
  <dataValidations count="2">
    <dataValidation allowBlank="1" showInputMessage="1" showErrorMessage="1" prompt="The levelized cost of product is calculated by dividing the sum of all the costs over the lifetime by the sum of the product produced over the lifetime. " sqref="B140" xr:uid="{B89D0651-429D-4C57-93EB-AD52F7344A42}"/>
    <dataValidation allowBlank="1" showInputMessage="1" showErrorMessage="1" prompt="The total manufacturing cost is the sum of the total OPEX for one year." sqref="B139" xr:uid="{EC5C1FF0-A43D-4814-8E3F-40CDD6A71242}"/>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F132-E612-4C83-BCAE-4BE5008892AE}">
  <sheetPr codeName="Sheet14"/>
  <dimension ref="A1:AI207"/>
  <sheetViews>
    <sheetView workbookViewId="0">
      <pane xSplit="1" topLeftCell="B1" activePane="topRight" state="frozen"/>
      <selection activeCell="E31" sqref="E31:E32"/>
      <selection pane="topRight" activeCell="D12" sqref="D12"/>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50" t="str">
        <f>'Pathway definition and results'!G13</f>
        <v>3. Pathway 3</v>
      </c>
    </row>
    <row r="6" spans="1:10" s="14" customFormat="1" x14ac:dyDescent="0.2">
      <c r="A6" s="1"/>
      <c r="B6" s="17" t="s">
        <v>440</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20" t="s">
        <v>441</v>
      </c>
      <c r="C30" s="221"/>
      <c r="D30" s="221"/>
      <c r="E30" s="221"/>
      <c r="F30" s="221"/>
      <c r="G30" s="221"/>
      <c r="H30" s="222"/>
      <c r="I30" s="222"/>
      <c r="J30" s="223"/>
    </row>
    <row r="31" spans="2:10" x14ac:dyDescent="0.2">
      <c r="B31" s="25" t="s">
        <v>21</v>
      </c>
      <c r="C31" s="25" t="s">
        <v>156</v>
      </c>
      <c r="D31" s="26"/>
      <c r="E31" s="27" t="s">
        <v>434</v>
      </c>
      <c r="F31" s="28" t="s">
        <v>442</v>
      </c>
      <c r="G31" s="27" t="s">
        <v>434</v>
      </c>
      <c r="H31" s="28" t="str">
        <f>"Unit per " &amp; IF(Technology!$C$32="","FU",Technology!$C$32)</f>
        <v>Unit per FU</v>
      </c>
      <c r="I31" s="29" t="s">
        <v>443</v>
      </c>
      <c r="J31" s="219"/>
    </row>
    <row r="32" spans="2:10" x14ac:dyDescent="0.2">
      <c r="B32" s="30"/>
      <c r="C32" s="30"/>
      <c r="D32" s="24"/>
      <c r="E32" s="31"/>
      <c r="F32" s="32"/>
      <c r="G32" s="14"/>
      <c r="H32" s="24"/>
      <c r="I32" s="14"/>
      <c r="J32" s="218"/>
    </row>
    <row r="33" spans="2:10" x14ac:dyDescent="0.2">
      <c r="B33" s="33" t="s">
        <v>49</v>
      </c>
      <c r="C33" s="34" t="s">
        <v>166</v>
      </c>
      <c r="D33" s="23" t="s">
        <v>444</v>
      </c>
      <c r="E33" s="35"/>
      <c r="F33" s="36" t="s">
        <v>159</v>
      </c>
      <c r="H33" s="36" t="str">
        <f>"kg/" &amp; IF(Technology!$C$32="","FU",Technology!$C$32)</f>
        <v>kg/FU</v>
      </c>
      <c r="J33" s="48"/>
    </row>
    <row r="34" spans="2:10" x14ac:dyDescent="0.2">
      <c r="B34" s="30"/>
      <c r="C34" s="34"/>
      <c r="D34" s="23" t="s">
        <v>445</v>
      </c>
      <c r="E34" s="38"/>
      <c r="F34" s="36" t="s">
        <v>159</v>
      </c>
      <c r="H34" s="36" t="str">
        <f>"kg/" &amp; IF(Technology!$C$32="","FU",Technology!$C$32)</f>
        <v>kg/FU</v>
      </c>
      <c r="J34" s="48"/>
    </row>
    <row r="35" spans="2:10" x14ac:dyDescent="0.2">
      <c r="B35" s="30"/>
      <c r="C35" s="34"/>
      <c r="D35" s="23"/>
      <c r="E35" s="38"/>
      <c r="F35" s="36"/>
      <c r="H35" s="36"/>
      <c r="J35" s="48"/>
    </row>
    <row r="36" spans="2:10" x14ac:dyDescent="0.2">
      <c r="B36" s="30"/>
      <c r="C36" s="34"/>
      <c r="D36" s="23" t="s">
        <v>446</v>
      </c>
      <c r="E36" s="38"/>
      <c r="F36" s="36" t="s">
        <v>171</v>
      </c>
      <c r="H36" s="36" t="str">
        <f>"kWh/" &amp; IF(Technology!$C$32="","FU",Technology!$C$32)</f>
        <v>kWh/FU</v>
      </c>
      <c r="J36" s="48"/>
    </row>
    <row r="37" spans="2:10" x14ac:dyDescent="0.2">
      <c r="B37" s="30"/>
      <c r="C37" s="34"/>
      <c r="D37" s="23" t="s">
        <v>447</v>
      </c>
      <c r="E37" s="38"/>
      <c r="F37" s="36" t="s">
        <v>171</v>
      </c>
      <c r="H37" s="36" t="str">
        <f>"kWh/" &amp; IF(Technology!$C$32="","FU",Technology!$C$32)</f>
        <v>kWh/FU</v>
      </c>
      <c r="J37" s="48"/>
    </row>
    <row r="38" spans="2:10" x14ac:dyDescent="0.2">
      <c r="B38" s="30"/>
      <c r="C38" s="34"/>
      <c r="D38" s="23" t="s">
        <v>248</v>
      </c>
      <c r="E38" s="38"/>
      <c r="F38" s="36" t="s">
        <v>171</v>
      </c>
      <c r="H38" s="36" t="str">
        <f>"kWh/" &amp; IF(Technology!$C$32="","FU",Technology!$C$32)</f>
        <v>kWh/FU</v>
      </c>
      <c r="J38" s="48"/>
    </row>
    <row r="39" spans="2:10" x14ac:dyDescent="0.2">
      <c r="B39" s="30"/>
      <c r="C39" s="34"/>
      <c r="D39" s="23" t="s">
        <v>252</v>
      </c>
      <c r="E39" s="38"/>
      <c r="F39" s="36" t="s">
        <v>171</v>
      </c>
      <c r="H39" s="36" t="str">
        <f>"kWh/" &amp; IF(Technology!$C$32="","FU",Technology!$C$32)</f>
        <v>kWh/FU</v>
      </c>
      <c r="J39" s="48"/>
    </row>
    <row r="40" spans="2:10" x14ac:dyDescent="0.2">
      <c r="B40" s="30"/>
      <c r="C40" s="34"/>
      <c r="D40" s="23"/>
      <c r="E40" s="38"/>
      <c r="F40" s="36"/>
      <c r="H40" s="36"/>
      <c r="J40" s="48"/>
    </row>
    <row r="41" spans="2:10" x14ac:dyDescent="0.2">
      <c r="B41" s="30"/>
      <c r="C41" s="34"/>
      <c r="D41" s="23" t="s">
        <v>269</v>
      </c>
      <c r="E41" s="38"/>
      <c r="F41" s="36" t="s">
        <v>448</v>
      </c>
      <c r="H41" s="36" t="str">
        <f>"m²/" &amp; IF(Technology!$C$32="","FU",Technology!$C$32)</f>
        <v>m²/FU</v>
      </c>
      <c r="J41" s="48"/>
    </row>
    <row r="42" spans="2:10" x14ac:dyDescent="0.2">
      <c r="B42" s="30"/>
      <c r="C42" s="34"/>
      <c r="D42" s="23" t="s">
        <v>449</v>
      </c>
      <c r="E42" s="38"/>
      <c r="F42" s="36" t="s">
        <v>267</v>
      </c>
      <c r="H42" s="36" t="s">
        <v>267</v>
      </c>
      <c r="J42" s="48"/>
    </row>
    <row r="43" spans="2:10" x14ac:dyDescent="0.2">
      <c r="B43" s="30"/>
      <c r="C43" s="34"/>
      <c r="D43" s="23"/>
      <c r="E43" s="38"/>
      <c r="F43" s="36"/>
      <c r="H43" s="36"/>
      <c r="J43" s="48"/>
    </row>
    <row r="44" spans="2:10" x14ac:dyDescent="0.2">
      <c r="B44" s="30"/>
      <c r="C44" s="34" t="s">
        <v>173</v>
      </c>
      <c r="D44" s="23" t="s">
        <v>450</v>
      </c>
      <c r="E44" s="38"/>
      <c r="F44" s="36" t="s">
        <v>159</v>
      </c>
      <c r="H44" s="36" t="str">
        <f>"kg/" &amp; IF(Technology!$C$32="","FU",Technology!$C$32)</f>
        <v>kg/FU</v>
      </c>
      <c r="J44" s="48"/>
    </row>
    <row r="45" spans="2:10" x14ac:dyDescent="0.2">
      <c r="B45" s="30"/>
      <c r="C45" s="34"/>
      <c r="D45" s="23" t="s">
        <v>445</v>
      </c>
      <c r="E45" s="38"/>
      <c r="F45" s="36" t="s">
        <v>159</v>
      </c>
      <c r="H45" s="36" t="str">
        <f>"kg/" &amp; IF(Technology!$C$32="","FU",Technology!$C$32)</f>
        <v>kg/FU</v>
      </c>
      <c r="J45" s="48"/>
    </row>
    <row r="46" spans="2:10" x14ac:dyDescent="0.2">
      <c r="B46" s="30"/>
      <c r="C46" s="34"/>
      <c r="D46" s="23" t="s">
        <v>226</v>
      </c>
      <c r="E46" s="38"/>
      <c r="F46" s="36" t="s">
        <v>159</v>
      </c>
      <c r="H46" s="36" t="str">
        <f>"kg/" &amp; IF(Technology!$C$32="","FU",Technology!$C$32)</f>
        <v>kg/FU</v>
      </c>
      <c r="J46" s="48"/>
    </row>
    <row r="47" spans="2:10" x14ac:dyDescent="0.2">
      <c r="B47" s="30"/>
      <c r="C47" s="34"/>
      <c r="D47" s="23" t="s">
        <v>227</v>
      </c>
      <c r="E47" s="38"/>
      <c r="F47" s="36" t="s">
        <v>159</v>
      </c>
      <c r="H47" s="36" t="str">
        <f>"kg/" &amp; IF(Technology!$C$32="","FU",Technology!$C$32)</f>
        <v>kg/FU</v>
      </c>
      <c r="J47" s="48"/>
    </row>
    <row r="48" spans="2:10" x14ac:dyDescent="0.2">
      <c r="B48" s="30"/>
      <c r="C48" s="39"/>
      <c r="D48" s="23"/>
      <c r="E48" s="38"/>
      <c r="F48" s="36"/>
      <c r="H48" s="36"/>
      <c r="J48" s="48"/>
    </row>
    <row r="49" spans="2:10" x14ac:dyDescent="0.2">
      <c r="B49" s="30"/>
      <c r="C49" s="30"/>
      <c r="D49" s="40"/>
      <c r="E49" s="41"/>
      <c r="F49" s="42"/>
      <c r="G49" s="14"/>
      <c r="H49" s="42"/>
      <c r="I49" s="14"/>
      <c r="J49" s="218"/>
    </row>
    <row r="50" spans="2:10" x14ac:dyDescent="0.2">
      <c r="B50" s="33" t="s">
        <v>49</v>
      </c>
      <c r="C50" s="34" t="s">
        <v>166</v>
      </c>
      <c r="D50" s="23" t="s">
        <v>444</v>
      </c>
      <c r="E50" s="35"/>
      <c r="F50" s="36" t="s">
        <v>159</v>
      </c>
      <c r="H50" s="36" t="str">
        <f>"kg/" &amp; IF(Technology!$C$32="","FU",Technology!$C$32)</f>
        <v>kg/FU</v>
      </c>
      <c r="J50" s="48"/>
    </row>
    <row r="51" spans="2:10" x14ac:dyDescent="0.2">
      <c r="B51" s="33"/>
      <c r="C51" s="34"/>
      <c r="D51" s="23" t="s">
        <v>445</v>
      </c>
      <c r="E51" s="38"/>
      <c r="F51" s="36" t="s">
        <v>159</v>
      </c>
      <c r="H51" s="36" t="str">
        <f>"kg/" &amp; IF(Technology!$C$32="","FU",Technology!$C$32)</f>
        <v>kg/FU</v>
      </c>
      <c r="J51" s="48"/>
    </row>
    <row r="52" spans="2:10" x14ac:dyDescent="0.2">
      <c r="B52" s="33"/>
      <c r="C52" s="34"/>
      <c r="D52" s="23"/>
      <c r="E52" s="38"/>
      <c r="F52" s="36"/>
      <c r="H52" s="36"/>
      <c r="J52" s="48"/>
    </row>
    <row r="53" spans="2:10" x14ac:dyDescent="0.2">
      <c r="B53" s="33"/>
      <c r="C53" s="34"/>
      <c r="D53" s="23" t="s">
        <v>446</v>
      </c>
      <c r="E53" s="38"/>
      <c r="F53" s="36" t="s">
        <v>171</v>
      </c>
      <c r="H53" s="36" t="str">
        <f>"kWh/" &amp; IF(Technology!$C$32="","FU",Technology!$C$32)</f>
        <v>kWh/FU</v>
      </c>
      <c r="J53" s="48"/>
    </row>
    <row r="54" spans="2:10" x14ac:dyDescent="0.2">
      <c r="B54" s="33"/>
      <c r="C54" s="34"/>
      <c r="D54" s="23" t="s">
        <v>447</v>
      </c>
      <c r="E54" s="38"/>
      <c r="F54" s="36" t="s">
        <v>171</v>
      </c>
      <c r="H54" s="36" t="str">
        <f>"kWh/" &amp; IF(Technology!$C$32="","FU",Technology!$C$32)</f>
        <v>kWh/FU</v>
      </c>
      <c r="J54" s="48"/>
    </row>
    <row r="55" spans="2:10" x14ac:dyDescent="0.2">
      <c r="B55" s="33"/>
      <c r="C55" s="34"/>
      <c r="D55" s="23" t="s">
        <v>248</v>
      </c>
      <c r="E55" s="38"/>
      <c r="F55" s="36" t="s">
        <v>171</v>
      </c>
      <c r="H55" s="36" t="str">
        <f>"kWh/" &amp; IF(Technology!$C$32="","FU",Technology!$C$32)</f>
        <v>kWh/FU</v>
      </c>
      <c r="J55" s="48"/>
    </row>
    <row r="56" spans="2:10" x14ac:dyDescent="0.2">
      <c r="B56" s="33"/>
      <c r="C56" s="34"/>
      <c r="D56" s="23" t="s">
        <v>252</v>
      </c>
      <c r="E56" s="38"/>
      <c r="F56" s="36" t="s">
        <v>171</v>
      </c>
      <c r="H56" s="36" t="str">
        <f>"kWh/" &amp; IF(Technology!$C$32="","FU",Technology!$C$32)</f>
        <v>kWh/FU</v>
      </c>
      <c r="J56" s="48"/>
    </row>
    <row r="57" spans="2:10" x14ac:dyDescent="0.2">
      <c r="B57" s="33"/>
      <c r="F57" s="36"/>
      <c r="H57" s="36"/>
      <c r="J57" s="48"/>
    </row>
    <row r="58" spans="2:10" x14ac:dyDescent="0.2">
      <c r="B58" s="33"/>
      <c r="C58" s="34"/>
      <c r="D58" s="23" t="s">
        <v>269</v>
      </c>
      <c r="E58" s="38"/>
      <c r="F58" s="36" t="s">
        <v>448</v>
      </c>
      <c r="H58" s="36" t="str">
        <f>"m²/" &amp; IF(Technology!$C$32="","FU",Technology!$C$32)</f>
        <v>m²/FU</v>
      </c>
      <c r="J58" s="48"/>
    </row>
    <row r="59" spans="2:10" x14ac:dyDescent="0.2">
      <c r="B59" s="33"/>
      <c r="C59" s="34"/>
      <c r="D59" s="23" t="s">
        <v>449</v>
      </c>
      <c r="E59" s="38"/>
      <c r="F59" s="36" t="s">
        <v>267</v>
      </c>
      <c r="H59" s="36" t="s">
        <v>267</v>
      </c>
      <c r="J59" s="48"/>
    </row>
    <row r="60" spans="2:10" x14ac:dyDescent="0.2">
      <c r="B60" s="33"/>
      <c r="C60" s="34"/>
      <c r="D60" s="23"/>
      <c r="E60" s="38"/>
      <c r="F60" s="36"/>
      <c r="H60" s="36"/>
      <c r="J60" s="48"/>
    </row>
    <row r="61" spans="2:10" x14ac:dyDescent="0.2">
      <c r="B61" s="30"/>
      <c r="C61" s="34" t="s">
        <v>173</v>
      </c>
      <c r="D61" s="23" t="s">
        <v>450</v>
      </c>
      <c r="E61" s="38"/>
      <c r="F61" s="36" t="s">
        <v>159</v>
      </c>
      <c r="H61" s="36" t="str">
        <f>"kg/" &amp; IF(Technology!$C$32="","FU",Technology!$C$32)</f>
        <v>kg/FU</v>
      </c>
      <c r="J61" s="48"/>
    </row>
    <row r="62" spans="2:10" x14ac:dyDescent="0.2">
      <c r="B62" s="30"/>
      <c r="C62" s="39"/>
      <c r="D62" s="23" t="s">
        <v>445</v>
      </c>
      <c r="E62" s="38"/>
      <c r="F62" s="36" t="s">
        <v>159</v>
      </c>
      <c r="H62" s="36" t="str">
        <f>"kg/" &amp; IF(Technology!$C$32="","FU",Technology!$C$32)</f>
        <v>kg/FU</v>
      </c>
      <c r="J62" s="48"/>
    </row>
    <row r="63" spans="2:10" x14ac:dyDescent="0.2">
      <c r="B63" s="30"/>
      <c r="C63" s="39"/>
      <c r="D63" s="23" t="s">
        <v>226</v>
      </c>
      <c r="E63" s="38"/>
      <c r="F63" s="36" t="s">
        <v>159</v>
      </c>
      <c r="H63" s="36" t="str">
        <f>"kg/" &amp; IF(Technology!$C$32="","FU",Technology!$C$32)</f>
        <v>kg/FU</v>
      </c>
      <c r="J63" s="48"/>
    </row>
    <row r="64" spans="2:10" x14ac:dyDescent="0.2">
      <c r="B64" s="30"/>
      <c r="C64" s="39"/>
      <c r="D64" s="23" t="s">
        <v>227</v>
      </c>
      <c r="E64" s="38"/>
      <c r="F64" s="36" t="s">
        <v>159</v>
      </c>
      <c r="H64" s="36" t="str">
        <f>"kg/" &amp; IF(Technology!$C$32="","FU",Technology!$C$32)</f>
        <v>kg/FU</v>
      </c>
      <c r="J64" s="48"/>
    </row>
    <row r="65" spans="2:35" x14ac:dyDescent="0.2">
      <c r="B65" s="30"/>
      <c r="C65" s="39"/>
      <c r="D65" s="23"/>
      <c r="E65" s="38"/>
      <c r="F65" s="36"/>
      <c r="H65" s="36"/>
      <c r="J65" s="48"/>
    </row>
    <row r="66" spans="2:35" x14ac:dyDescent="0.2">
      <c r="B66" s="24"/>
      <c r="C66" s="43"/>
      <c r="D66" s="23"/>
      <c r="E66" s="37"/>
      <c r="F66" s="36"/>
      <c r="G66" s="36"/>
      <c r="J66" s="48"/>
    </row>
    <row r="67" spans="2:35" x14ac:dyDescent="0.2">
      <c r="B67" s="25"/>
      <c r="C67" s="214"/>
      <c r="D67" s="215"/>
      <c r="E67" s="216"/>
      <c r="F67" s="217"/>
      <c r="G67" s="217"/>
      <c r="H67" s="7"/>
      <c r="I67" s="7"/>
      <c r="J67" s="49"/>
    </row>
    <row r="69" spans="2:35" x14ac:dyDescent="0.2">
      <c r="B69" s="130" t="s">
        <v>451</v>
      </c>
      <c r="C69" s="169" t="s">
        <v>157</v>
      </c>
      <c r="D69" s="180" t="s">
        <v>434</v>
      </c>
    </row>
    <row r="70" spans="2:35" x14ac:dyDescent="0.2">
      <c r="B70" s="71" t="s">
        <v>176</v>
      </c>
      <c r="C70" s="2" t="s">
        <v>177</v>
      </c>
      <c r="D70" s="280"/>
    </row>
    <row r="71" spans="2:35" x14ac:dyDescent="0.2">
      <c r="B71" s="18" t="s">
        <v>178</v>
      </c>
      <c r="C71" s="2" t="s">
        <v>177</v>
      </c>
      <c r="D71" s="281"/>
    </row>
    <row r="72" spans="2:35" x14ac:dyDescent="0.2">
      <c r="B72" s="18" t="s">
        <v>179</v>
      </c>
      <c r="C72" s="2" t="s">
        <v>177</v>
      </c>
      <c r="D72" s="281"/>
    </row>
    <row r="73" spans="2:35" x14ac:dyDescent="0.2">
      <c r="B73" s="18" t="s">
        <v>180</v>
      </c>
      <c r="C73" s="2" t="s">
        <v>177</v>
      </c>
      <c r="D73" s="281"/>
    </row>
    <row r="74" spans="2:35" x14ac:dyDescent="0.2">
      <c r="B74" s="18" t="s">
        <v>181</v>
      </c>
      <c r="C74" s="2" t="s">
        <v>177</v>
      </c>
      <c r="D74" s="281"/>
    </row>
    <row r="75" spans="2:35" x14ac:dyDescent="0.2">
      <c r="B75" s="129" t="s">
        <v>182</v>
      </c>
      <c r="C75" s="133" t="s">
        <v>177</v>
      </c>
      <c r="D75" s="282"/>
    </row>
    <row r="78" spans="2:35" x14ac:dyDescent="0.2">
      <c r="B78" s="44" t="s">
        <v>452</v>
      </c>
      <c r="C78" s="45"/>
      <c r="D78" s="45"/>
      <c r="E78" s="431" t="s">
        <v>453</v>
      </c>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row>
    <row r="79" spans="2:35" x14ac:dyDescent="0.2">
      <c r="B79" s="46" t="s">
        <v>454</v>
      </c>
      <c r="C79" s="46" t="s">
        <v>21</v>
      </c>
      <c r="D79" s="46" t="s">
        <v>156</v>
      </c>
      <c r="E79" s="46">
        <v>0</v>
      </c>
      <c r="F79" s="46">
        <v>1</v>
      </c>
      <c r="G79" s="46">
        <v>2</v>
      </c>
      <c r="H79" s="46">
        <v>3</v>
      </c>
      <c r="I79" s="46">
        <v>4</v>
      </c>
      <c r="J79" s="46">
        <v>5</v>
      </c>
      <c r="K79" s="46">
        <v>6</v>
      </c>
      <c r="L79" s="46">
        <v>7</v>
      </c>
      <c r="M79" s="46">
        <v>8</v>
      </c>
      <c r="N79" s="46">
        <v>9</v>
      </c>
      <c r="O79" s="46">
        <v>10</v>
      </c>
      <c r="P79" s="46">
        <v>11</v>
      </c>
      <c r="Q79" s="46">
        <v>12</v>
      </c>
      <c r="R79" s="46">
        <v>13</v>
      </c>
      <c r="S79" s="46">
        <v>14</v>
      </c>
      <c r="T79" s="46">
        <v>15</v>
      </c>
      <c r="U79" s="46">
        <v>16</v>
      </c>
      <c r="V79" s="46">
        <v>17</v>
      </c>
      <c r="W79" s="46">
        <v>18</v>
      </c>
      <c r="X79" s="46">
        <v>19</v>
      </c>
      <c r="Y79" s="46">
        <v>20</v>
      </c>
      <c r="Z79" s="46">
        <v>21</v>
      </c>
      <c r="AA79" s="46">
        <v>22</v>
      </c>
      <c r="AB79" s="46">
        <v>23</v>
      </c>
      <c r="AC79" s="46">
        <v>24</v>
      </c>
      <c r="AD79" s="46">
        <v>25</v>
      </c>
      <c r="AE79" s="46">
        <v>26</v>
      </c>
      <c r="AF79" s="46">
        <v>27</v>
      </c>
      <c r="AG79" s="46">
        <v>28</v>
      </c>
      <c r="AH79" s="46">
        <v>29</v>
      </c>
      <c r="AI79" s="200">
        <v>30</v>
      </c>
    </row>
    <row r="80" spans="2:35" s="6" customFormat="1" x14ac:dyDescent="0.2">
      <c r="B80" s="8" t="s">
        <v>455</v>
      </c>
      <c r="C80" s="8"/>
      <c r="D80" s="8"/>
      <c r="E80" s="201">
        <f t="shared" ref="E80:AI80" si="0">SUM(E81:E85)</f>
        <v>0</v>
      </c>
      <c r="F80" s="201">
        <f t="shared" si="0"/>
        <v>0</v>
      </c>
      <c r="G80" s="201">
        <f t="shared" si="0"/>
        <v>0</v>
      </c>
      <c r="H80" s="201">
        <f t="shared" si="0"/>
        <v>0</v>
      </c>
      <c r="I80" s="201">
        <f t="shared" si="0"/>
        <v>0</v>
      </c>
      <c r="J80" s="201">
        <f t="shared" si="0"/>
        <v>0</v>
      </c>
      <c r="K80" s="201">
        <f t="shared" si="0"/>
        <v>0</v>
      </c>
      <c r="L80" s="201">
        <f t="shared" si="0"/>
        <v>0</v>
      </c>
      <c r="M80" s="201">
        <f t="shared" si="0"/>
        <v>0</v>
      </c>
      <c r="N80" s="201">
        <f t="shared" si="0"/>
        <v>0</v>
      </c>
      <c r="O80" s="201">
        <f t="shared" si="0"/>
        <v>0</v>
      </c>
      <c r="P80" s="201">
        <f t="shared" si="0"/>
        <v>0</v>
      </c>
      <c r="Q80" s="201">
        <f t="shared" si="0"/>
        <v>0</v>
      </c>
      <c r="R80" s="201">
        <f t="shared" si="0"/>
        <v>0</v>
      </c>
      <c r="S80" s="201">
        <f t="shared" si="0"/>
        <v>0</v>
      </c>
      <c r="T80" s="201">
        <f t="shared" si="0"/>
        <v>0</v>
      </c>
      <c r="U80" s="201">
        <f t="shared" si="0"/>
        <v>0</v>
      </c>
      <c r="V80" s="201">
        <f t="shared" si="0"/>
        <v>0</v>
      </c>
      <c r="W80" s="201">
        <f t="shared" si="0"/>
        <v>0</v>
      </c>
      <c r="X80" s="201">
        <f t="shared" si="0"/>
        <v>0</v>
      </c>
      <c r="Y80" s="201">
        <f t="shared" si="0"/>
        <v>0</v>
      </c>
      <c r="Z80" s="201">
        <f t="shared" si="0"/>
        <v>0</v>
      </c>
      <c r="AA80" s="201">
        <f t="shared" si="0"/>
        <v>0</v>
      </c>
      <c r="AB80" s="201">
        <f t="shared" si="0"/>
        <v>0</v>
      </c>
      <c r="AC80" s="201">
        <f t="shared" si="0"/>
        <v>0</v>
      </c>
      <c r="AD80" s="201">
        <f t="shared" si="0"/>
        <v>0</v>
      </c>
      <c r="AE80" s="201">
        <f t="shared" si="0"/>
        <v>0</v>
      </c>
      <c r="AF80" s="201">
        <f t="shared" si="0"/>
        <v>0</v>
      </c>
      <c r="AG80" s="201">
        <f t="shared" si="0"/>
        <v>0</v>
      </c>
      <c r="AH80" s="201">
        <f t="shared" si="0"/>
        <v>0</v>
      </c>
      <c r="AI80" s="202">
        <f t="shared" si="0"/>
        <v>0</v>
      </c>
    </row>
    <row r="81" spans="2:35" x14ac:dyDescent="0.2">
      <c r="B81" s="9"/>
      <c r="C81" s="21" t="s">
        <v>49</v>
      </c>
      <c r="D81" s="1" t="s">
        <v>455</v>
      </c>
      <c r="E81" s="203"/>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5"/>
    </row>
    <row r="82" spans="2:35" x14ac:dyDescent="0.2">
      <c r="B82" s="9"/>
      <c r="C82" s="21"/>
      <c r="D82" s="1" t="s">
        <v>456</v>
      </c>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6"/>
    </row>
    <row r="83" spans="2:35" x14ac:dyDescent="0.2">
      <c r="B83" s="9"/>
      <c r="C83" s="21" t="s">
        <v>49</v>
      </c>
      <c r="D83" s="1" t="s">
        <v>455</v>
      </c>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5"/>
    </row>
    <row r="84" spans="2:35" x14ac:dyDescent="0.2">
      <c r="B84" s="9"/>
      <c r="C84" s="21"/>
      <c r="D84" s="1" t="s">
        <v>456</v>
      </c>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6"/>
    </row>
    <row r="85" spans="2:35" x14ac:dyDescent="0.2">
      <c r="B85" s="9"/>
      <c r="C85" s="21"/>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6"/>
    </row>
    <row r="86" spans="2:35" s="6" customFormat="1" x14ac:dyDescent="0.2">
      <c r="B86" s="8" t="s">
        <v>457</v>
      </c>
      <c r="C86" s="90"/>
      <c r="D86" s="8"/>
      <c r="E86" s="201"/>
      <c r="F86" s="201">
        <f t="shared" ref="F86:AI86" si="1">SUM(F87:F107)</f>
        <v>0</v>
      </c>
      <c r="G86" s="201">
        <f t="shared" si="1"/>
        <v>0</v>
      </c>
      <c r="H86" s="201">
        <f t="shared" si="1"/>
        <v>0</v>
      </c>
      <c r="I86" s="201">
        <f t="shared" si="1"/>
        <v>0</v>
      </c>
      <c r="J86" s="201">
        <f t="shared" si="1"/>
        <v>0</v>
      </c>
      <c r="K86" s="201">
        <f t="shared" si="1"/>
        <v>0</v>
      </c>
      <c r="L86" s="201">
        <f t="shared" si="1"/>
        <v>0</v>
      </c>
      <c r="M86" s="201">
        <f t="shared" si="1"/>
        <v>0</v>
      </c>
      <c r="N86" s="201">
        <f t="shared" si="1"/>
        <v>0</v>
      </c>
      <c r="O86" s="201">
        <f t="shared" si="1"/>
        <v>0</v>
      </c>
      <c r="P86" s="201">
        <f t="shared" si="1"/>
        <v>0</v>
      </c>
      <c r="Q86" s="201">
        <f t="shared" si="1"/>
        <v>0</v>
      </c>
      <c r="R86" s="201">
        <f t="shared" si="1"/>
        <v>0</v>
      </c>
      <c r="S86" s="201">
        <f t="shared" si="1"/>
        <v>0</v>
      </c>
      <c r="T86" s="201">
        <f t="shared" si="1"/>
        <v>0</v>
      </c>
      <c r="U86" s="201">
        <f t="shared" si="1"/>
        <v>0</v>
      </c>
      <c r="V86" s="201">
        <f t="shared" si="1"/>
        <v>0</v>
      </c>
      <c r="W86" s="201">
        <f t="shared" si="1"/>
        <v>0</v>
      </c>
      <c r="X86" s="201">
        <f t="shared" si="1"/>
        <v>0</v>
      </c>
      <c r="Y86" s="201">
        <f t="shared" si="1"/>
        <v>0</v>
      </c>
      <c r="Z86" s="201">
        <f t="shared" si="1"/>
        <v>0</v>
      </c>
      <c r="AA86" s="201">
        <f t="shared" si="1"/>
        <v>0</v>
      </c>
      <c r="AB86" s="201">
        <f t="shared" si="1"/>
        <v>0</v>
      </c>
      <c r="AC86" s="201">
        <f t="shared" si="1"/>
        <v>0</v>
      </c>
      <c r="AD86" s="201">
        <f t="shared" si="1"/>
        <v>0</v>
      </c>
      <c r="AE86" s="201">
        <f t="shared" si="1"/>
        <v>0</v>
      </c>
      <c r="AF86" s="201">
        <f t="shared" si="1"/>
        <v>0</v>
      </c>
      <c r="AG86" s="201">
        <f t="shared" si="1"/>
        <v>0</v>
      </c>
      <c r="AH86" s="201">
        <f t="shared" si="1"/>
        <v>0</v>
      </c>
      <c r="AI86" s="202">
        <f t="shared" si="1"/>
        <v>0</v>
      </c>
    </row>
    <row r="87" spans="2:35" x14ac:dyDescent="0.2">
      <c r="B87" s="9"/>
      <c r="C87" s="21" t="s">
        <v>367</v>
      </c>
      <c r="D87" s="1" t="s">
        <v>458</v>
      </c>
      <c r="E87" s="203"/>
      <c r="F87" s="203">
        <f>IF(F79&gt;e_ecolifetime_yr,0,$E$80*'Data - economic'!$I$41)</f>
        <v>0</v>
      </c>
      <c r="G87" s="203">
        <f>IF(G79&gt;e_ecolifetime_yr,0,$E$80*'Data - economic'!$I$41)</f>
        <v>0</v>
      </c>
      <c r="H87" s="203">
        <f>IF(H79&gt;e_ecolifetime_yr,0,$E$80*'Data - economic'!$I$41)</f>
        <v>0</v>
      </c>
      <c r="I87" s="203">
        <f>IF(I79&gt;e_ecolifetime_yr,0,$E$80*'Data - economic'!$I$41)</f>
        <v>0</v>
      </c>
      <c r="J87" s="203">
        <f>IF(J79&gt;e_ecolifetime_yr,0,$E$80*'Data - economic'!$I$41)</f>
        <v>0</v>
      </c>
      <c r="K87" s="203">
        <f>IF(K79&gt;e_ecolifetime_yr,0,$E$80*'Data - economic'!$I$41)</f>
        <v>0</v>
      </c>
      <c r="L87" s="203">
        <f>IF(L79&gt;e_ecolifetime_yr,0,$E$80*'Data - economic'!$I$41)</f>
        <v>0</v>
      </c>
      <c r="M87" s="203">
        <f>IF(M79&gt;e_ecolifetime_yr,0,$E$80*'Data - economic'!$I$41)</f>
        <v>0</v>
      </c>
      <c r="N87" s="203">
        <f>IF(N79&gt;e_ecolifetime_yr,0,$E$80*'Data - economic'!$I$41)</f>
        <v>0</v>
      </c>
      <c r="O87" s="203">
        <f>IF(O79&gt;e_ecolifetime_yr,0,$E$80*'Data - economic'!$I$41)</f>
        <v>0</v>
      </c>
      <c r="P87" s="203">
        <f>IF(P79&gt;e_ecolifetime_yr,0,$E$80*'Data - economic'!$I$41)</f>
        <v>0</v>
      </c>
      <c r="Q87" s="203">
        <f>IF(Q79&gt;e_ecolifetime_yr,0,$E$80*'Data - economic'!$I$41)</f>
        <v>0</v>
      </c>
      <c r="R87" s="203">
        <f>IF(R79&gt;e_ecolifetime_yr,0,$E$80*'Data - economic'!$I$41)</f>
        <v>0</v>
      </c>
      <c r="S87" s="203">
        <f>IF(S79&gt;e_ecolifetime_yr,0,$E$80*'Data - economic'!$I$41)</f>
        <v>0</v>
      </c>
      <c r="T87" s="203">
        <f>IF(T79&gt;e_ecolifetime_yr,0,$E$80*'Data - economic'!$I$41)</f>
        <v>0</v>
      </c>
      <c r="U87" s="203">
        <f>IF(U79&gt;e_ecolifetime_yr,0,$E$80*'Data - economic'!$I$41)</f>
        <v>0</v>
      </c>
      <c r="V87" s="203">
        <f>IF(V79&gt;e_ecolifetime_yr,0,$E$80*'Data - economic'!$I$41)</f>
        <v>0</v>
      </c>
      <c r="W87" s="203">
        <f>IF(W79&gt;e_ecolifetime_yr,0,$E$80*'Data - economic'!$I$41)</f>
        <v>0</v>
      </c>
      <c r="X87" s="203">
        <f>IF(X79&gt;e_ecolifetime_yr,0,$E$80*'Data - economic'!$I$41)</f>
        <v>0</v>
      </c>
      <c r="Y87" s="203">
        <f>IF(Y79&gt;e_ecolifetime_yr,0,$E$80*'Data - economic'!$I$41)</f>
        <v>0</v>
      </c>
      <c r="Z87" s="203">
        <f>IF(Z79&gt;e_ecolifetime_yr,0,$E$80*'Data - economic'!$I$41)</f>
        <v>0</v>
      </c>
      <c r="AA87" s="203">
        <f>IF(AA79&gt;e_ecolifetime_yr,0,$E$80*'Data - economic'!$I$41)</f>
        <v>0</v>
      </c>
      <c r="AB87" s="203">
        <f>IF(AB79&gt;e_ecolifetime_yr,0,$E$80*'Data - economic'!$I$41)</f>
        <v>0</v>
      </c>
      <c r="AC87" s="203">
        <f>IF(AC79&gt;e_ecolifetime_yr,0,$E$80*'Data - economic'!$I$41)</f>
        <v>0</v>
      </c>
      <c r="AD87" s="203">
        <f>IF(AD79&gt;e_ecolifetime_yr,0,$E$80*'Data - economic'!$I$41)</f>
        <v>0</v>
      </c>
      <c r="AE87" s="203">
        <f>IF(AE79&gt;e_ecolifetime_yr,0,$E$80*'Data - economic'!$I$41)</f>
        <v>0</v>
      </c>
      <c r="AF87" s="203">
        <f>IF(AF79&gt;e_ecolifetime_yr,0,$E$80*'Data - economic'!$I$41)</f>
        <v>0</v>
      </c>
      <c r="AG87" s="203">
        <f>IF(AG79&gt;e_ecolifetime_yr,0,$E$80*'Data - economic'!$I$41)</f>
        <v>0</v>
      </c>
      <c r="AH87" s="203">
        <f>IF(AH79&gt;e_ecolifetime_yr,0,$E$80*'Data - economic'!$I$41)</f>
        <v>0</v>
      </c>
      <c r="AI87" s="206">
        <f>IF(AI79&gt;e_ecolifetime_yr,0,$E$80*'Data - economic'!$I$41)</f>
        <v>0</v>
      </c>
    </row>
    <row r="88" spans="2:35" x14ac:dyDescent="0.2">
      <c r="B88" s="9"/>
      <c r="C88" s="21"/>
      <c r="D88" s="1" t="s">
        <v>459</v>
      </c>
      <c r="E88" s="203"/>
      <c r="F88" s="203">
        <f>IF(F79&gt;e_ecolifetime_yr,0,$E$80*'Data - economic'!$I$42)</f>
        <v>0</v>
      </c>
      <c r="G88" s="203">
        <f>IF(G79&gt;e_ecolifetime_yr,0,$E$80*'Data - economic'!$I$42)</f>
        <v>0</v>
      </c>
      <c r="H88" s="203">
        <f>IF(H79&gt;e_ecolifetime_yr,0,$E$80*'Data - economic'!$I$42)</f>
        <v>0</v>
      </c>
      <c r="I88" s="203">
        <f>IF(I79&gt;e_ecolifetime_yr,0,$E$80*'Data - economic'!$I$42)</f>
        <v>0</v>
      </c>
      <c r="J88" s="203">
        <f>IF(J79&gt;e_ecolifetime_yr,0,$E$80*'Data - economic'!$I$42)</f>
        <v>0</v>
      </c>
      <c r="K88" s="203">
        <f>IF(K79&gt;e_ecolifetime_yr,0,$E$80*'Data - economic'!$I$42)</f>
        <v>0</v>
      </c>
      <c r="L88" s="203">
        <f>IF(L79&gt;e_ecolifetime_yr,0,$E$80*'Data - economic'!$I$42)</f>
        <v>0</v>
      </c>
      <c r="M88" s="203">
        <f>IF(M79&gt;e_ecolifetime_yr,0,$E$80*'Data - economic'!$I$42)</f>
        <v>0</v>
      </c>
      <c r="N88" s="203">
        <f>IF(N79&gt;e_ecolifetime_yr,0,$E$80*'Data - economic'!$I$42)</f>
        <v>0</v>
      </c>
      <c r="O88" s="203">
        <f>IF(O79&gt;e_ecolifetime_yr,0,$E$80*'Data - economic'!$I$42)</f>
        <v>0</v>
      </c>
      <c r="P88" s="203">
        <f>IF(P79&gt;e_ecolifetime_yr,0,$E$80*'Data - economic'!$I$42)</f>
        <v>0</v>
      </c>
      <c r="Q88" s="203">
        <f>IF(Q79&gt;e_ecolifetime_yr,0,$E$80*'Data - economic'!$I$42)</f>
        <v>0</v>
      </c>
      <c r="R88" s="203">
        <f>IF(R79&gt;e_ecolifetime_yr,0,$E$80*'Data - economic'!$I$42)</f>
        <v>0</v>
      </c>
      <c r="S88" s="203">
        <f>IF(S79&gt;e_ecolifetime_yr,0,$E$80*'Data - economic'!$I$42)</f>
        <v>0</v>
      </c>
      <c r="T88" s="203">
        <f>IF(T79&gt;e_ecolifetime_yr,0,$E$80*'Data - economic'!$I$42)</f>
        <v>0</v>
      </c>
      <c r="U88" s="203">
        <f>IF(U79&gt;e_ecolifetime_yr,0,$E$80*'Data - economic'!$I$42)</f>
        <v>0</v>
      </c>
      <c r="V88" s="203">
        <f>IF(V79&gt;e_ecolifetime_yr,0,$E$80*'Data - economic'!$I$42)</f>
        <v>0</v>
      </c>
      <c r="W88" s="203">
        <f>IF(W79&gt;e_ecolifetime_yr,0,$E$80*'Data - economic'!$I$42)</f>
        <v>0</v>
      </c>
      <c r="X88" s="203">
        <f>IF(X79&gt;e_ecolifetime_yr,0,$E$80*'Data - economic'!$I$42)</f>
        <v>0</v>
      </c>
      <c r="Y88" s="203">
        <f>IF(Y79&gt;e_ecolifetime_yr,0,$E$80*'Data - economic'!$I$42)</f>
        <v>0</v>
      </c>
      <c r="Z88" s="203">
        <f>IF(Z79&gt;e_ecolifetime_yr,0,$E$80*'Data - economic'!$I$42)</f>
        <v>0</v>
      </c>
      <c r="AA88" s="203">
        <f>IF(AA79&gt;e_ecolifetime_yr,0,$E$80*'Data - economic'!$I$42)</f>
        <v>0</v>
      </c>
      <c r="AB88" s="203">
        <f>IF(AB79&gt;e_ecolifetime_yr,0,$E$80*'Data - economic'!$I$42)</f>
        <v>0</v>
      </c>
      <c r="AC88" s="203">
        <f>IF(AC79&gt;e_ecolifetime_yr,0,$E$80*'Data - economic'!$I$42)</f>
        <v>0</v>
      </c>
      <c r="AD88" s="203">
        <f>IF(AD79&gt;e_ecolifetime_yr,0,$E$80*'Data - economic'!$I$42)</f>
        <v>0</v>
      </c>
      <c r="AE88" s="203">
        <f>IF(AE79&gt;e_ecolifetime_yr,0,$E$80*'Data - economic'!$I$42)</f>
        <v>0</v>
      </c>
      <c r="AF88" s="203">
        <f>IF(AF79&gt;e_ecolifetime_yr,0,$E$80*'Data - economic'!$I$42)</f>
        <v>0</v>
      </c>
      <c r="AG88" s="203">
        <f>IF(AG79&gt;e_ecolifetime_yr,0,$E$80*'Data - economic'!$I$42)</f>
        <v>0</v>
      </c>
      <c r="AH88" s="203">
        <f>IF(AH79&gt;e_ecolifetime_yr,0,$E$80*'Data - economic'!$I$42)</f>
        <v>0</v>
      </c>
      <c r="AI88" s="206">
        <f>IF(AI79&gt;e_ecolifetime_yr,0,$E$80*'Data - economic'!$I$42)</f>
        <v>0</v>
      </c>
    </row>
    <row r="89" spans="2:35" x14ac:dyDescent="0.2">
      <c r="B89" s="9"/>
      <c r="C89" s="21"/>
      <c r="D89" s="1" t="s">
        <v>460</v>
      </c>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6"/>
    </row>
    <row r="90" spans="2:35" x14ac:dyDescent="0.2">
      <c r="B90" s="9"/>
      <c r="C90" s="21"/>
      <c r="D90" s="1" t="s">
        <v>461</v>
      </c>
      <c r="E90" s="203"/>
      <c r="F90" s="203">
        <f>IF(F79&gt;e_ecolifetime_yr,0,('3. Pathway 3'!$F$89+'3. Pathway 3'!$F$88)*'Data - economic'!$I$43)</f>
        <v>0</v>
      </c>
      <c r="G90" s="203">
        <f>IF(G79&gt;e_ecolifetime_yr,0,('3. Pathway 3'!$F$89+'3. Pathway 3'!$F$88)*'Data - economic'!$I$43)</f>
        <v>0</v>
      </c>
      <c r="H90" s="203">
        <f>IF(H79&gt;e_ecolifetime_yr,0,('3. Pathway 3'!$F$89+'3. Pathway 3'!$F$88)*'Data - economic'!$I$43)</f>
        <v>0</v>
      </c>
      <c r="I90" s="203">
        <f>IF(I79&gt;e_ecolifetime_yr,0,('3. Pathway 3'!$F$89+'3. Pathway 3'!$F$88)*'Data - economic'!$I$43)</f>
        <v>0</v>
      </c>
      <c r="J90" s="203">
        <f>IF(J79&gt;e_ecolifetime_yr,0,('3. Pathway 3'!$F$89+'3. Pathway 3'!$F$88)*'Data - economic'!$I$43)</f>
        <v>0</v>
      </c>
      <c r="K90" s="203">
        <f>IF(K79&gt;e_ecolifetime_yr,0,('3. Pathway 3'!$F$89+'3. Pathway 3'!$F$88)*'Data - economic'!$I$43)</f>
        <v>0</v>
      </c>
      <c r="L90" s="203">
        <f>IF(L79&gt;e_ecolifetime_yr,0,('3. Pathway 3'!$F$89+'3. Pathway 3'!$F$88)*'Data - economic'!$I$43)</f>
        <v>0</v>
      </c>
      <c r="M90" s="203">
        <f>IF(M79&gt;e_ecolifetime_yr,0,('3. Pathway 3'!$F$89+'3. Pathway 3'!$F$88)*'Data - economic'!$I$43)</f>
        <v>0</v>
      </c>
      <c r="N90" s="203">
        <f>IF(N79&gt;e_ecolifetime_yr,0,('3. Pathway 3'!$F$89+'3. Pathway 3'!$F$88)*'Data - economic'!$I$43)</f>
        <v>0</v>
      </c>
      <c r="O90" s="203">
        <f>IF(O79&gt;e_ecolifetime_yr,0,('3. Pathway 3'!$F$89+'3. Pathway 3'!$F$88)*'Data - economic'!$I$43)</f>
        <v>0</v>
      </c>
      <c r="P90" s="203">
        <f>IF(P79&gt;e_ecolifetime_yr,0,('3. Pathway 3'!$F$89+'3. Pathway 3'!$F$88)*'Data - economic'!$I$43)</f>
        <v>0</v>
      </c>
      <c r="Q90" s="203">
        <f>IF(Q79&gt;e_ecolifetime_yr,0,('3. Pathway 3'!$F$89+'3. Pathway 3'!$F$88)*'Data - economic'!$I$43)</f>
        <v>0</v>
      </c>
      <c r="R90" s="203">
        <f>IF(R79&gt;e_ecolifetime_yr,0,('3. Pathway 3'!$F$89+'3. Pathway 3'!$F$88)*'Data - economic'!$I$43)</f>
        <v>0</v>
      </c>
      <c r="S90" s="203">
        <f>IF(S79&gt;e_ecolifetime_yr,0,('3. Pathway 3'!$F$89+'3. Pathway 3'!$F$88)*'Data - economic'!$I$43)</f>
        <v>0</v>
      </c>
      <c r="T90" s="203">
        <f>IF(T79&gt;e_ecolifetime_yr,0,('3. Pathway 3'!$F$89+'3. Pathway 3'!$F$88)*'Data - economic'!$I$43)</f>
        <v>0</v>
      </c>
      <c r="U90" s="203">
        <f>IF(U79&gt;e_ecolifetime_yr,0,('3. Pathway 3'!$F$89+'3. Pathway 3'!$F$88)*'Data - economic'!$I$43)</f>
        <v>0</v>
      </c>
      <c r="V90" s="203">
        <f>IF(V79&gt;e_ecolifetime_yr,0,('3. Pathway 3'!$F$89+'3. Pathway 3'!$F$88)*'Data - economic'!$I$43)</f>
        <v>0</v>
      </c>
      <c r="W90" s="203">
        <f>IF(W79&gt;e_ecolifetime_yr,0,('3. Pathway 3'!$F$89+'3. Pathway 3'!$F$88)*'Data - economic'!$I$43)</f>
        <v>0</v>
      </c>
      <c r="X90" s="203">
        <f>IF(X79&gt;e_ecolifetime_yr,0,('3. Pathway 3'!$F$89+'3. Pathway 3'!$F$88)*'Data - economic'!$I$43)</f>
        <v>0</v>
      </c>
      <c r="Y90" s="203">
        <f>IF(Y79&gt;e_ecolifetime_yr,0,('3. Pathway 3'!$F$89+'3. Pathway 3'!$F$88)*'Data - economic'!$I$43)</f>
        <v>0</v>
      </c>
      <c r="Z90" s="203">
        <f>IF(Z79&gt;e_ecolifetime_yr,0,('3. Pathway 3'!$F$89+'3. Pathway 3'!$F$88)*'Data - economic'!$I$43)</f>
        <v>0</v>
      </c>
      <c r="AA90" s="203">
        <f>IF(AA79&gt;e_ecolifetime_yr,0,('3. Pathway 3'!$F$89+'3. Pathway 3'!$F$88)*'Data - economic'!$I$43)</f>
        <v>0</v>
      </c>
      <c r="AB90" s="203">
        <f>IF(AB79&gt;e_ecolifetime_yr,0,('3. Pathway 3'!$F$89+'3. Pathway 3'!$F$88)*'Data - economic'!$I$43)</f>
        <v>0</v>
      </c>
      <c r="AC90" s="203">
        <f>IF(AC79&gt;e_ecolifetime_yr,0,('3. Pathway 3'!$F$89+'3. Pathway 3'!$F$88)*'Data - economic'!$I$43)</f>
        <v>0</v>
      </c>
      <c r="AD90" s="203">
        <f>IF(AD79&gt;e_ecolifetime_yr,0,('3. Pathway 3'!$F$89+'3. Pathway 3'!$F$88)*'Data - economic'!$I$43)</f>
        <v>0</v>
      </c>
      <c r="AE90" s="203">
        <f>IF(AE79&gt;e_ecolifetime_yr,0,('3. Pathway 3'!$F$89+'3. Pathway 3'!$F$88)*'Data - economic'!$I$43)</f>
        <v>0</v>
      </c>
      <c r="AF90" s="203">
        <f>IF(AF79&gt;e_ecolifetime_yr,0,('3. Pathway 3'!$F$89+'3. Pathway 3'!$F$88)*'Data - economic'!$I$43)</f>
        <v>0</v>
      </c>
      <c r="AG90" s="203">
        <f>IF(AG79&gt;e_ecolifetime_yr,0,('3. Pathway 3'!$F$89+'3. Pathway 3'!$F$88)*'Data - economic'!$I$43)</f>
        <v>0</v>
      </c>
      <c r="AH90" s="203">
        <f>IF(AH79&gt;e_ecolifetime_yr,0,('3. Pathway 3'!$F$89+'3. Pathway 3'!$F$88)*'Data - economic'!$I$43)</f>
        <v>0</v>
      </c>
      <c r="AI90" s="206">
        <f>IF(AI79&gt;e_ecolifetime_yr,0,('3. Pathway 3'!$F$89+'3. Pathway 3'!$F$88)*'Data - economic'!$I$43)</f>
        <v>0</v>
      </c>
    </row>
    <row r="91" spans="2:35" x14ac:dyDescent="0.2">
      <c r="B91" s="9"/>
      <c r="C91" s="21"/>
      <c r="D91" s="1" t="s">
        <v>342</v>
      </c>
      <c r="E91" s="203"/>
      <c r="F91" s="203">
        <f>IF(F79&gt;e_ecolifetime_yr,0,'3. Pathway 3'!$F$89*'Data - economic'!$I$44)</f>
        <v>0</v>
      </c>
      <c r="G91" s="203">
        <f>IF(G79&gt;e_ecolifetime_yr,0,'3. Pathway 3'!$F$89*'Data - economic'!$I$44)</f>
        <v>0</v>
      </c>
      <c r="H91" s="203">
        <f>IF(H79&gt;e_ecolifetime_yr,0,'3. Pathway 3'!$F$89*'Data - economic'!$I$44)</f>
        <v>0</v>
      </c>
      <c r="I91" s="203">
        <f>IF(I79&gt;e_ecolifetime_yr,0,'3. Pathway 3'!$F$89*'Data - economic'!$I$44)</f>
        <v>0</v>
      </c>
      <c r="J91" s="203">
        <f>IF(J79&gt;e_ecolifetime_yr,0,'3. Pathway 3'!$F$89*'Data - economic'!$I$44)</f>
        <v>0</v>
      </c>
      <c r="K91" s="203">
        <f>IF(K79&gt;e_ecolifetime_yr,0,'3. Pathway 3'!$F$89*'Data - economic'!$I$44)</f>
        <v>0</v>
      </c>
      <c r="L91" s="203">
        <f>IF(L79&gt;e_ecolifetime_yr,0,'3. Pathway 3'!$F$89*'Data - economic'!$I$44)</f>
        <v>0</v>
      </c>
      <c r="M91" s="203">
        <f>IF(M79&gt;e_ecolifetime_yr,0,'3. Pathway 3'!$F$89*'Data - economic'!$I$44)</f>
        <v>0</v>
      </c>
      <c r="N91" s="203">
        <f>IF(N79&gt;e_ecolifetime_yr,0,'3. Pathway 3'!$F$89*'Data - economic'!$I$44)</f>
        <v>0</v>
      </c>
      <c r="O91" s="203">
        <f>IF(O79&gt;e_ecolifetime_yr,0,'3. Pathway 3'!$F$89*'Data - economic'!$I$44)</f>
        <v>0</v>
      </c>
      <c r="P91" s="203">
        <f>IF(P79&gt;e_ecolifetime_yr,0,'3. Pathway 3'!$F$89*'Data - economic'!$I$44)</f>
        <v>0</v>
      </c>
      <c r="Q91" s="203">
        <f>IF(Q79&gt;e_ecolifetime_yr,0,'3. Pathway 3'!$F$89*'Data - economic'!$I$44)</f>
        <v>0</v>
      </c>
      <c r="R91" s="203">
        <f>IF(R79&gt;e_ecolifetime_yr,0,'3. Pathway 3'!$F$89*'Data - economic'!$I$44)</f>
        <v>0</v>
      </c>
      <c r="S91" s="203">
        <f>IF(S79&gt;e_ecolifetime_yr,0,'3. Pathway 3'!$F$89*'Data - economic'!$I$44)</f>
        <v>0</v>
      </c>
      <c r="T91" s="203">
        <f>IF(T79&gt;e_ecolifetime_yr,0,'3. Pathway 3'!$F$89*'Data - economic'!$I$44)</f>
        <v>0</v>
      </c>
      <c r="U91" s="203">
        <f>IF(U79&gt;e_ecolifetime_yr,0,'3. Pathway 3'!$F$89*'Data - economic'!$I$44)</f>
        <v>0</v>
      </c>
      <c r="V91" s="203">
        <f>IF(V79&gt;e_ecolifetime_yr,0,'3. Pathway 3'!$F$89*'Data - economic'!$I$44)</f>
        <v>0</v>
      </c>
      <c r="W91" s="203">
        <f>IF(W79&gt;e_ecolifetime_yr,0,'3. Pathway 3'!$F$89*'Data - economic'!$I$44)</f>
        <v>0</v>
      </c>
      <c r="X91" s="203">
        <f>IF(X79&gt;e_ecolifetime_yr,0,'3. Pathway 3'!$F$89*'Data - economic'!$I$44)</f>
        <v>0</v>
      </c>
      <c r="Y91" s="203">
        <f>IF(Y79&gt;e_ecolifetime_yr,0,'3. Pathway 3'!$F$89*'Data - economic'!$I$44)</f>
        <v>0</v>
      </c>
      <c r="Z91" s="203">
        <f>IF(Z79&gt;e_ecolifetime_yr,0,'3. Pathway 3'!$F$89*'Data - economic'!$I$44)</f>
        <v>0</v>
      </c>
      <c r="AA91" s="203">
        <f>IF(AA79&gt;e_ecolifetime_yr,0,'3. Pathway 3'!$F$89*'Data - economic'!$I$44)</f>
        <v>0</v>
      </c>
      <c r="AB91" s="203">
        <f>IF(AB79&gt;e_ecolifetime_yr,0,'3. Pathway 3'!$F$89*'Data - economic'!$I$44)</f>
        <v>0</v>
      </c>
      <c r="AC91" s="203">
        <f>IF(AC79&gt;e_ecolifetime_yr,0,'3. Pathway 3'!$F$89*'Data - economic'!$I$44)</f>
        <v>0</v>
      </c>
      <c r="AD91" s="203">
        <f>IF(AD79&gt;e_ecolifetime_yr,0,'3. Pathway 3'!$F$89*'Data - economic'!$I$44)</f>
        <v>0</v>
      </c>
      <c r="AE91" s="203">
        <f>IF(AE79&gt;e_ecolifetime_yr,0,'3. Pathway 3'!$F$89*'Data - economic'!$I$44)</f>
        <v>0</v>
      </c>
      <c r="AF91" s="203">
        <f>IF(AF79&gt;e_ecolifetime_yr,0,'3. Pathway 3'!$F$89*'Data - economic'!$I$44)</f>
        <v>0</v>
      </c>
      <c r="AG91" s="203">
        <f>IF(AG79&gt;e_ecolifetime_yr,0,'3. Pathway 3'!$F$89*'Data - economic'!$I$44)</f>
        <v>0</v>
      </c>
      <c r="AH91" s="203">
        <f>IF(AH79&gt;e_ecolifetime_yr,0,'3. Pathway 3'!$F$89*'Data - economic'!$I$44)</f>
        <v>0</v>
      </c>
      <c r="AI91" s="206">
        <f>IF(AI79&gt;e_ecolifetime_yr,0,'3. Pathway 3'!$F$89*'Data - economic'!$I$44)</f>
        <v>0</v>
      </c>
    </row>
    <row r="92" spans="2:35" x14ac:dyDescent="0.2">
      <c r="B92" s="9"/>
      <c r="C92" s="21"/>
      <c r="D92" s="1" t="s">
        <v>344</v>
      </c>
      <c r="E92" s="203"/>
      <c r="F92" s="203">
        <f>IF(F79&gt;e_ecolifetime_yr,0,'3. Pathway 3'!$F$89*'Data - economic'!$I$45)</f>
        <v>0</v>
      </c>
      <c r="G92" s="203">
        <f>IF(G79&gt;e_ecolifetime_yr,0,'3. Pathway 3'!$F$89*'Data - economic'!$I$45)</f>
        <v>0</v>
      </c>
      <c r="H92" s="203">
        <f>IF(H79&gt;e_ecolifetime_yr,0,'3. Pathway 3'!$F$89*'Data - economic'!$I$45)</f>
        <v>0</v>
      </c>
      <c r="I92" s="203">
        <f>IF(I79&gt;e_ecolifetime_yr,0,'3. Pathway 3'!$F$89*'Data - economic'!$I$45)</f>
        <v>0</v>
      </c>
      <c r="J92" s="203">
        <f>IF(J79&gt;e_ecolifetime_yr,0,'3. Pathway 3'!$F$89*'Data - economic'!$I$45)</f>
        <v>0</v>
      </c>
      <c r="K92" s="203">
        <f>IF(K79&gt;e_ecolifetime_yr,0,'3. Pathway 3'!$F$89*'Data - economic'!$I$45)</f>
        <v>0</v>
      </c>
      <c r="L92" s="203">
        <f>IF(L79&gt;e_ecolifetime_yr,0,'3. Pathway 3'!$F$89*'Data - economic'!$I$45)</f>
        <v>0</v>
      </c>
      <c r="M92" s="203">
        <f>IF(M79&gt;e_ecolifetime_yr,0,'3. Pathway 3'!$F$89*'Data - economic'!$I$45)</f>
        <v>0</v>
      </c>
      <c r="N92" s="203">
        <f>IF(N79&gt;e_ecolifetime_yr,0,'3. Pathway 3'!$F$89*'Data - economic'!$I$45)</f>
        <v>0</v>
      </c>
      <c r="O92" s="203">
        <f>IF(O79&gt;e_ecolifetime_yr,0,'3. Pathway 3'!$F$89*'Data - economic'!$I$45)</f>
        <v>0</v>
      </c>
      <c r="P92" s="203">
        <f>IF(P79&gt;e_ecolifetime_yr,0,'3. Pathway 3'!$F$89*'Data - economic'!$I$45)</f>
        <v>0</v>
      </c>
      <c r="Q92" s="203">
        <f>IF(Q79&gt;e_ecolifetime_yr,0,'3. Pathway 3'!$F$89*'Data - economic'!$I$45)</f>
        <v>0</v>
      </c>
      <c r="R92" s="203">
        <f>IF(R79&gt;e_ecolifetime_yr,0,'3. Pathway 3'!$F$89*'Data - economic'!$I$45)</f>
        <v>0</v>
      </c>
      <c r="S92" s="203">
        <f>IF(S79&gt;e_ecolifetime_yr,0,'3. Pathway 3'!$F$89*'Data - economic'!$I$45)</f>
        <v>0</v>
      </c>
      <c r="T92" s="203">
        <f>IF(T79&gt;e_ecolifetime_yr,0,'3. Pathway 3'!$F$89*'Data - economic'!$I$45)</f>
        <v>0</v>
      </c>
      <c r="U92" s="203">
        <f>IF(U79&gt;e_ecolifetime_yr,0,'3. Pathway 3'!$F$89*'Data - economic'!$I$45)</f>
        <v>0</v>
      </c>
      <c r="V92" s="203">
        <f>IF(V79&gt;e_ecolifetime_yr,0,'3. Pathway 3'!$F$89*'Data - economic'!$I$45)</f>
        <v>0</v>
      </c>
      <c r="W92" s="203">
        <f>IF(W79&gt;e_ecolifetime_yr,0,'3. Pathway 3'!$F$89*'Data - economic'!$I$45)</f>
        <v>0</v>
      </c>
      <c r="X92" s="203">
        <f>IF(X79&gt;e_ecolifetime_yr,0,'3. Pathway 3'!$F$89*'Data - economic'!$I$45)</f>
        <v>0</v>
      </c>
      <c r="Y92" s="203">
        <f>IF(Y79&gt;e_ecolifetime_yr,0,'3. Pathway 3'!$F$89*'Data - economic'!$I$45)</f>
        <v>0</v>
      </c>
      <c r="Z92" s="203">
        <f>IF(Z79&gt;e_ecolifetime_yr,0,'3. Pathway 3'!$F$89*'Data - economic'!$I$45)</f>
        <v>0</v>
      </c>
      <c r="AA92" s="203">
        <f>IF(AA79&gt;e_ecolifetime_yr,0,'3. Pathway 3'!$F$89*'Data - economic'!$I$45)</f>
        <v>0</v>
      </c>
      <c r="AB92" s="203">
        <f>IF(AB79&gt;e_ecolifetime_yr,0,'3. Pathway 3'!$F$89*'Data - economic'!$I$45)</f>
        <v>0</v>
      </c>
      <c r="AC92" s="203">
        <f>IF(AC79&gt;e_ecolifetime_yr,0,'3. Pathway 3'!$F$89*'Data - economic'!$I$45)</f>
        <v>0</v>
      </c>
      <c r="AD92" s="203">
        <f>IF(AD79&gt;e_ecolifetime_yr,0,'3. Pathway 3'!$F$89*'Data - economic'!$I$45)</f>
        <v>0</v>
      </c>
      <c r="AE92" s="203">
        <f>IF(AE79&gt;e_ecolifetime_yr,0,'3. Pathway 3'!$F$89*'Data - economic'!$I$45)</f>
        <v>0</v>
      </c>
      <c r="AF92" s="203">
        <f>IF(AF79&gt;e_ecolifetime_yr,0,'3. Pathway 3'!$F$89*'Data - economic'!$I$45)</f>
        <v>0</v>
      </c>
      <c r="AG92" s="203">
        <f>IF(AG79&gt;e_ecolifetime_yr,0,'3. Pathway 3'!$F$89*'Data - economic'!$I$45)</f>
        <v>0</v>
      </c>
      <c r="AH92" s="203">
        <f>IF(AH79&gt;e_ecolifetime_yr,0,'3. Pathway 3'!$F$89*'Data - economic'!$I$45)</f>
        <v>0</v>
      </c>
      <c r="AI92" s="206">
        <f>IF(AI79&gt;e_ecolifetime_yr,0,'3. Pathway 3'!$F$89*'Data - economic'!$I$45)</f>
        <v>0</v>
      </c>
    </row>
    <row r="93" spans="2:35" x14ac:dyDescent="0.2">
      <c r="B93" s="9"/>
      <c r="C93" s="21"/>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6"/>
    </row>
    <row r="94" spans="2:35" x14ac:dyDescent="0.2">
      <c r="B94" s="9"/>
      <c r="C94" s="21"/>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6"/>
    </row>
    <row r="95" spans="2:35" x14ac:dyDescent="0.2">
      <c r="B95" s="9"/>
      <c r="C95" s="21" t="s">
        <v>49</v>
      </c>
      <c r="D95" s="1" t="s">
        <v>462</v>
      </c>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6"/>
    </row>
    <row r="96" spans="2:35" x14ac:dyDescent="0.2">
      <c r="B96" s="9"/>
      <c r="C96" s="21"/>
      <c r="D96" s="1" t="s">
        <v>169</v>
      </c>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6"/>
    </row>
    <row r="97" spans="2:35" x14ac:dyDescent="0.2">
      <c r="B97" s="9"/>
      <c r="C97" s="21"/>
      <c r="D97" s="1" t="s">
        <v>168</v>
      </c>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6"/>
    </row>
    <row r="98" spans="2:35" x14ac:dyDescent="0.2">
      <c r="B98" s="9"/>
      <c r="C98" s="21"/>
      <c r="D98" s="1" t="s">
        <v>170</v>
      </c>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6"/>
    </row>
    <row r="99" spans="2:35" x14ac:dyDescent="0.2">
      <c r="B99" s="9"/>
      <c r="C99" s="21"/>
      <c r="D99" s="1" t="s">
        <v>172</v>
      </c>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6"/>
    </row>
    <row r="100" spans="2:35" x14ac:dyDescent="0.2">
      <c r="B100" s="9"/>
      <c r="C100" s="21"/>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6"/>
    </row>
    <row r="101" spans="2:35" x14ac:dyDescent="0.2">
      <c r="B101" s="9"/>
      <c r="C101" s="21" t="s">
        <v>49</v>
      </c>
      <c r="D101" s="1" t="s">
        <v>462</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6"/>
    </row>
    <row r="102" spans="2:35" x14ac:dyDescent="0.2">
      <c r="B102" s="9"/>
      <c r="C102" s="21"/>
      <c r="D102" s="1" t="s">
        <v>169</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6"/>
    </row>
    <row r="103" spans="2:35" x14ac:dyDescent="0.2">
      <c r="B103" s="9"/>
      <c r="C103" s="21"/>
      <c r="D103" s="1" t="s">
        <v>168</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6"/>
    </row>
    <row r="104" spans="2:35" x14ac:dyDescent="0.2">
      <c r="B104" s="9"/>
      <c r="C104" s="21"/>
      <c r="D104" s="1" t="s">
        <v>170</v>
      </c>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6"/>
    </row>
    <row r="105" spans="2:35" x14ac:dyDescent="0.2">
      <c r="B105" s="9"/>
      <c r="C105" s="21"/>
      <c r="D105" s="1" t="s">
        <v>172</v>
      </c>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6"/>
    </row>
    <row r="106" spans="2:35" x14ac:dyDescent="0.2">
      <c r="B106" s="9"/>
      <c r="C106" s="21"/>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6"/>
    </row>
    <row r="107" spans="2:35" x14ac:dyDescent="0.2">
      <c r="B107" s="9"/>
      <c r="C107" s="21"/>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6"/>
    </row>
    <row r="108" spans="2:35" s="6" customFormat="1" x14ac:dyDescent="0.2">
      <c r="B108" s="8" t="s">
        <v>366</v>
      </c>
      <c r="C108" s="90"/>
      <c r="D108" s="8"/>
      <c r="E108" s="201"/>
      <c r="F108" s="201">
        <f>SUM(F109:F113)</f>
        <v>0</v>
      </c>
      <c r="G108" s="201">
        <f t="shared" ref="G108:AI108" si="2">SUM(G109:G113)</f>
        <v>0</v>
      </c>
      <c r="H108" s="201">
        <f t="shared" si="2"/>
        <v>0</v>
      </c>
      <c r="I108" s="201">
        <f t="shared" si="2"/>
        <v>0</v>
      </c>
      <c r="J108" s="201">
        <f t="shared" si="2"/>
        <v>0</v>
      </c>
      <c r="K108" s="201">
        <f t="shared" si="2"/>
        <v>0</v>
      </c>
      <c r="L108" s="201">
        <f t="shared" si="2"/>
        <v>0</v>
      </c>
      <c r="M108" s="201">
        <f t="shared" si="2"/>
        <v>0</v>
      </c>
      <c r="N108" s="201">
        <f t="shared" si="2"/>
        <v>0</v>
      </c>
      <c r="O108" s="201">
        <f t="shared" si="2"/>
        <v>0</v>
      </c>
      <c r="P108" s="201">
        <f t="shared" si="2"/>
        <v>0</v>
      </c>
      <c r="Q108" s="201">
        <f t="shared" si="2"/>
        <v>0</v>
      </c>
      <c r="R108" s="201">
        <f t="shared" si="2"/>
        <v>0</v>
      </c>
      <c r="S108" s="201">
        <f t="shared" si="2"/>
        <v>0</v>
      </c>
      <c r="T108" s="201">
        <f t="shared" si="2"/>
        <v>0</v>
      </c>
      <c r="U108" s="201">
        <f t="shared" si="2"/>
        <v>0</v>
      </c>
      <c r="V108" s="201">
        <f t="shared" si="2"/>
        <v>0</v>
      </c>
      <c r="W108" s="201">
        <f t="shared" si="2"/>
        <v>0</v>
      </c>
      <c r="X108" s="201">
        <f t="shared" si="2"/>
        <v>0</v>
      </c>
      <c r="Y108" s="201">
        <f t="shared" si="2"/>
        <v>0</v>
      </c>
      <c r="Z108" s="201">
        <f t="shared" si="2"/>
        <v>0</v>
      </c>
      <c r="AA108" s="201">
        <f t="shared" si="2"/>
        <v>0</v>
      </c>
      <c r="AB108" s="201">
        <f t="shared" si="2"/>
        <v>0</v>
      </c>
      <c r="AC108" s="201">
        <f t="shared" si="2"/>
        <v>0</v>
      </c>
      <c r="AD108" s="201">
        <f t="shared" si="2"/>
        <v>0</v>
      </c>
      <c r="AE108" s="201">
        <f t="shared" si="2"/>
        <v>0</v>
      </c>
      <c r="AF108" s="201">
        <f t="shared" si="2"/>
        <v>0</v>
      </c>
      <c r="AG108" s="201">
        <f t="shared" si="2"/>
        <v>0</v>
      </c>
      <c r="AH108" s="201">
        <f t="shared" si="2"/>
        <v>0</v>
      </c>
      <c r="AI108" s="202">
        <f t="shared" si="2"/>
        <v>0</v>
      </c>
    </row>
    <row r="109" spans="2:35" x14ac:dyDescent="0.2">
      <c r="B109" s="9"/>
      <c r="C109" s="21" t="s">
        <v>49</v>
      </c>
      <c r="D109" s="1" t="s">
        <v>370</v>
      </c>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6"/>
    </row>
    <row r="110" spans="2:35" x14ac:dyDescent="0.2">
      <c r="B110" s="9"/>
      <c r="C110" s="21"/>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6"/>
    </row>
    <row r="111" spans="2:35" x14ac:dyDescent="0.2">
      <c r="B111" s="9"/>
      <c r="C111" s="21"/>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6"/>
    </row>
    <row r="112" spans="2:35" x14ac:dyDescent="0.2">
      <c r="B112" s="9"/>
      <c r="C112" s="21" t="s">
        <v>164</v>
      </c>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6"/>
    </row>
    <row r="113" spans="2:35" x14ac:dyDescent="0.2">
      <c r="B113" s="9"/>
      <c r="C113" s="21"/>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6"/>
    </row>
    <row r="114" spans="2:35" s="6" customFormat="1" x14ac:dyDescent="0.2">
      <c r="B114" s="10" t="s">
        <v>463</v>
      </c>
      <c r="C114" s="93"/>
      <c r="D114" s="10"/>
      <c r="E114" s="94"/>
      <c r="F114" s="94">
        <f t="shared" ref="F114:AI114" si="3">F108-F86-F80</f>
        <v>0</v>
      </c>
      <c r="G114" s="94">
        <f t="shared" si="3"/>
        <v>0</v>
      </c>
      <c r="H114" s="94">
        <f t="shared" si="3"/>
        <v>0</v>
      </c>
      <c r="I114" s="94">
        <f t="shared" si="3"/>
        <v>0</v>
      </c>
      <c r="J114" s="94">
        <f t="shared" si="3"/>
        <v>0</v>
      </c>
      <c r="K114" s="94">
        <f t="shared" si="3"/>
        <v>0</v>
      </c>
      <c r="L114" s="94">
        <f t="shared" si="3"/>
        <v>0</v>
      </c>
      <c r="M114" s="94">
        <f t="shared" si="3"/>
        <v>0</v>
      </c>
      <c r="N114" s="94">
        <f t="shared" si="3"/>
        <v>0</v>
      </c>
      <c r="O114" s="94">
        <f t="shared" si="3"/>
        <v>0</v>
      </c>
      <c r="P114" s="94">
        <f t="shared" si="3"/>
        <v>0</v>
      </c>
      <c r="Q114" s="94">
        <f t="shared" si="3"/>
        <v>0</v>
      </c>
      <c r="R114" s="94">
        <f t="shared" si="3"/>
        <v>0</v>
      </c>
      <c r="S114" s="94">
        <f t="shared" si="3"/>
        <v>0</v>
      </c>
      <c r="T114" s="94">
        <f t="shared" si="3"/>
        <v>0</v>
      </c>
      <c r="U114" s="94">
        <f t="shared" si="3"/>
        <v>0</v>
      </c>
      <c r="V114" s="94">
        <f t="shared" si="3"/>
        <v>0</v>
      </c>
      <c r="W114" s="94">
        <f t="shared" si="3"/>
        <v>0</v>
      </c>
      <c r="X114" s="94">
        <f t="shared" si="3"/>
        <v>0</v>
      </c>
      <c r="Y114" s="94">
        <f t="shared" si="3"/>
        <v>0</v>
      </c>
      <c r="Z114" s="94">
        <f t="shared" si="3"/>
        <v>0</v>
      </c>
      <c r="AA114" s="94">
        <f t="shared" si="3"/>
        <v>0</v>
      </c>
      <c r="AB114" s="94">
        <f t="shared" si="3"/>
        <v>0</v>
      </c>
      <c r="AC114" s="94">
        <f t="shared" si="3"/>
        <v>0</v>
      </c>
      <c r="AD114" s="94">
        <f t="shared" si="3"/>
        <v>0</v>
      </c>
      <c r="AE114" s="94">
        <f t="shared" si="3"/>
        <v>0</v>
      </c>
      <c r="AF114" s="94">
        <f t="shared" si="3"/>
        <v>0</v>
      </c>
      <c r="AG114" s="94">
        <f t="shared" si="3"/>
        <v>0</v>
      </c>
      <c r="AH114" s="94">
        <f t="shared" si="3"/>
        <v>0</v>
      </c>
      <c r="AI114" s="207">
        <f t="shared" si="3"/>
        <v>0</v>
      </c>
    </row>
    <row r="115" spans="2:35" x14ac:dyDescent="0.2">
      <c r="B115" s="8" t="s">
        <v>464</v>
      </c>
      <c r="C115" s="21" t="s">
        <v>49</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6"/>
    </row>
    <row r="116" spans="2:35" x14ac:dyDescent="0.2">
      <c r="B116" s="9"/>
      <c r="C116" s="21" t="s">
        <v>49</v>
      </c>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6"/>
    </row>
    <row r="117" spans="2:35" x14ac:dyDescent="0.2">
      <c r="B117" s="9"/>
      <c r="C117" s="21"/>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6"/>
    </row>
    <row r="118" spans="2:35" x14ac:dyDescent="0.2">
      <c r="B118" s="9"/>
      <c r="C118" s="21"/>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6"/>
    </row>
    <row r="119" spans="2:35" x14ac:dyDescent="0.2">
      <c r="B119" s="9"/>
      <c r="C119" s="21"/>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6"/>
    </row>
    <row r="120" spans="2:35" x14ac:dyDescent="0.2">
      <c r="B120" s="44" t="s">
        <v>465</v>
      </c>
      <c r="C120" s="21"/>
      <c r="D120" s="9"/>
      <c r="E120" s="208"/>
      <c r="F120" s="208">
        <f>SUM(F115:F119)</f>
        <v>0</v>
      </c>
      <c r="G120" s="208">
        <f t="shared" ref="G120:AI120" si="4">SUM(G115:G119)</f>
        <v>0</v>
      </c>
      <c r="H120" s="208">
        <f t="shared" si="4"/>
        <v>0</v>
      </c>
      <c r="I120" s="208">
        <f t="shared" si="4"/>
        <v>0</v>
      </c>
      <c r="J120" s="208">
        <f t="shared" si="4"/>
        <v>0</v>
      </c>
      <c r="K120" s="208">
        <f t="shared" si="4"/>
        <v>0</v>
      </c>
      <c r="L120" s="208">
        <f t="shared" si="4"/>
        <v>0</v>
      </c>
      <c r="M120" s="208">
        <f t="shared" si="4"/>
        <v>0</v>
      </c>
      <c r="N120" s="208">
        <f t="shared" si="4"/>
        <v>0</v>
      </c>
      <c r="O120" s="208">
        <f t="shared" si="4"/>
        <v>0</v>
      </c>
      <c r="P120" s="208">
        <f t="shared" si="4"/>
        <v>0</v>
      </c>
      <c r="Q120" s="208">
        <f t="shared" si="4"/>
        <v>0</v>
      </c>
      <c r="R120" s="208">
        <f t="shared" si="4"/>
        <v>0</v>
      </c>
      <c r="S120" s="208">
        <f t="shared" si="4"/>
        <v>0</v>
      </c>
      <c r="T120" s="208">
        <f t="shared" si="4"/>
        <v>0</v>
      </c>
      <c r="U120" s="208">
        <f t="shared" si="4"/>
        <v>0</v>
      </c>
      <c r="V120" s="208">
        <f t="shared" si="4"/>
        <v>0</v>
      </c>
      <c r="W120" s="208">
        <f t="shared" si="4"/>
        <v>0</v>
      </c>
      <c r="X120" s="208">
        <f t="shared" si="4"/>
        <v>0</v>
      </c>
      <c r="Y120" s="208">
        <f t="shared" si="4"/>
        <v>0</v>
      </c>
      <c r="Z120" s="208">
        <f t="shared" si="4"/>
        <v>0</v>
      </c>
      <c r="AA120" s="208">
        <f t="shared" si="4"/>
        <v>0</v>
      </c>
      <c r="AB120" s="208">
        <f t="shared" si="4"/>
        <v>0</v>
      </c>
      <c r="AC120" s="208">
        <f t="shared" si="4"/>
        <v>0</v>
      </c>
      <c r="AD120" s="208">
        <f t="shared" si="4"/>
        <v>0</v>
      </c>
      <c r="AE120" s="208">
        <f t="shared" si="4"/>
        <v>0</v>
      </c>
      <c r="AF120" s="208">
        <f t="shared" si="4"/>
        <v>0</v>
      </c>
      <c r="AG120" s="208">
        <f t="shared" si="4"/>
        <v>0</v>
      </c>
      <c r="AH120" s="208">
        <f t="shared" si="4"/>
        <v>0</v>
      </c>
      <c r="AI120" s="209">
        <f t="shared" si="4"/>
        <v>0</v>
      </c>
    </row>
    <row r="121" spans="2:35" x14ac:dyDescent="0.2">
      <c r="B121" s="44" t="s">
        <v>466</v>
      </c>
      <c r="C121" s="9"/>
      <c r="E121" s="203" cm="1">
        <f t="array" ref="E121">e_debt_ratio*'3. Pathway 3'!E80</f>
        <v>0</v>
      </c>
      <c r="F121" s="203" cm="1">
        <f t="array" ref="F121">IF(F79&gt;e_ecolifetime_yr,0,E121*e_interestrate)</f>
        <v>0</v>
      </c>
      <c r="G121" s="203" cm="1">
        <f t="array" ref="G121">IF(G79&gt;e_ecolifetime_yr,0,($E$121-(F122*F79))*e_interestrate)</f>
        <v>0</v>
      </c>
      <c r="H121" s="203" cm="1">
        <f t="array" ref="H121">IF(H79&gt;e_ecolifetime_yr,0,($E$121-(G122*G79))*e_interestrate)</f>
        <v>0</v>
      </c>
      <c r="I121" s="203" cm="1">
        <f t="array" ref="I121">IF(I79&gt;e_ecolifetime_yr,0,($E$121-(H122*H79))*e_interestrate)</f>
        <v>0</v>
      </c>
      <c r="J121" s="203" cm="1">
        <f t="array" ref="J121">IF(J79&gt;e_ecolifetime_yr,0,($E$121-(I122*I79))*e_interestrate)</f>
        <v>0</v>
      </c>
      <c r="K121" s="203" cm="1">
        <f t="array" ref="K121">IF(K79&gt;e_ecolifetime_yr,0,($E$121-(J122*J79))*e_interestrate)</f>
        <v>0</v>
      </c>
      <c r="L121" s="203" cm="1">
        <f t="array" ref="L121">IF(L79&gt;e_ecolifetime_yr,0,($E$121-(K122*K79))*e_interestrate)</f>
        <v>0</v>
      </c>
      <c r="M121" s="203" cm="1">
        <f t="array" ref="M121">IF(M79&gt;e_ecolifetime_yr,0,($E$121-(L122*L79))*e_interestrate)</f>
        <v>0</v>
      </c>
      <c r="N121" s="203" cm="1">
        <f t="array" ref="N121">IF(N79&gt;e_ecolifetime_yr,0,($E$121-(M122*M79))*e_interestrate)</f>
        <v>0</v>
      </c>
      <c r="O121" s="203" cm="1">
        <f t="array" ref="O121">IF(O79&gt;e_ecolifetime_yr,0,($E$121-(N122*N79))*e_interestrate)</f>
        <v>0</v>
      </c>
      <c r="P121" s="203" cm="1">
        <f t="array" ref="P121">IF(P79&gt;e_ecolifetime_yr,0,($E$121-(O122*O79))*e_interestrate)</f>
        <v>0</v>
      </c>
      <c r="Q121" s="203" cm="1">
        <f t="array" ref="Q121">IF(Q79&gt;e_ecolifetime_yr,0,($E$121-(P122*P79))*e_interestrate)</f>
        <v>0</v>
      </c>
      <c r="R121" s="203" cm="1">
        <f t="array" ref="R121">IF(R79&gt;e_ecolifetime_yr,0,($E$121-(Q122*Q79))*e_interestrate)</f>
        <v>0</v>
      </c>
      <c r="S121" s="203" cm="1">
        <f t="array" ref="S121">IF(S79&gt;e_ecolifetime_yr,0,($E$121-(R122*R79))*e_interestrate)</f>
        <v>0</v>
      </c>
      <c r="T121" s="203" cm="1">
        <f t="array" ref="T121">IF(T79&gt;e_ecolifetime_yr,0,($E$121-(S122*S79))*e_interestrate)</f>
        <v>0</v>
      </c>
      <c r="U121" s="203" cm="1">
        <f t="array" ref="U121">IF(U79&gt;e_ecolifetime_yr,0,($E$121-(T122*T79))*e_interestrate)</f>
        <v>0</v>
      </c>
      <c r="V121" s="203" cm="1">
        <f t="array" ref="V121">IF(V79&gt;e_ecolifetime_yr,0,($E$121-(U122*U79))*e_interestrate)</f>
        <v>0</v>
      </c>
      <c r="W121" s="203" cm="1">
        <f t="array" ref="W121">IF(W79&gt;e_ecolifetime_yr,0,($E$121-(V122*V79))*e_interestrate)</f>
        <v>0</v>
      </c>
      <c r="X121" s="203" cm="1">
        <f t="array" ref="X121">IF(X79&gt;e_ecolifetime_yr,0,($E$121-(W122*W79))*e_interestrate)</f>
        <v>0</v>
      </c>
      <c r="Y121" s="203" cm="1">
        <f t="array" ref="Y121">IF(Y79&gt;e_ecolifetime_yr,0,($E$121-(X122*X79))*e_interestrate)</f>
        <v>0</v>
      </c>
      <c r="Z121" s="203" cm="1">
        <f t="array" ref="Z121">IF(Z79&gt;e_ecolifetime_yr,0,($E$121-(Y122*Y79))*e_interestrate)</f>
        <v>0</v>
      </c>
      <c r="AA121" s="203" cm="1">
        <f t="array" ref="AA121">IF(AA79&gt;e_ecolifetime_yr,0,($E$121-(Z122*Z79))*e_interestrate)</f>
        <v>0</v>
      </c>
      <c r="AB121" s="203" cm="1">
        <f t="array" ref="AB121">IF(AB79&gt;e_ecolifetime_yr,0,($E$121-(AA122*AA79))*e_interestrate)</f>
        <v>0</v>
      </c>
      <c r="AC121" s="203" cm="1">
        <f t="array" ref="AC121">IF(AC79&gt;e_ecolifetime_yr,0,($E$121-(AB122*AB79))*e_interestrate)</f>
        <v>0</v>
      </c>
      <c r="AD121" s="203" cm="1">
        <f t="array" ref="AD121">IF(AD79&gt;e_ecolifetime_yr,0,($E$121-(AC122*AC79))*e_interestrate)</f>
        <v>0</v>
      </c>
      <c r="AE121" s="203" cm="1">
        <f t="array" ref="AE121">IF(AE79&gt;e_ecolifetime_yr,0,($E$121-(AD122*AD79))*e_interestrate)</f>
        <v>0</v>
      </c>
      <c r="AF121" s="203" cm="1">
        <f t="array" ref="AF121">IF(AF79&gt;e_ecolifetime_yr,0,($E$121-(AE122*AE79))*e_interestrate)</f>
        <v>0</v>
      </c>
      <c r="AG121" s="203" cm="1">
        <f t="array" ref="AG121">IF(AG79&gt;e_ecolifetime_yr,0,($E$121-(AF122*AF79))*e_interestrate)</f>
        <v>0</v>
      </c>
      <c r="AH121" s="203" cm="1">
        <f t="array" ref="AH121">IF(AH79&gt;e_ecolifetime_yr,0,($E$121-(AG122*AG79))*e_interestrate)</f>
        <v>0</v>
      </c>
      <c r="AI121" s="206" cm="1">
        <f t="array" ref="AI121">IF(AI79&gt;e_ecolifetime_yr,0,($E$121-(AH122*AH79))*e_interestrate)</f>
        <v>0</v>
      </c>
    </row>
    <row r="122" spans="2:35" x14ac:dyDescent="0.2">
      <c r="B122" s="44" t="s">
        <v>467</v>
      </c>
      <c r="C122" s="9"/>
      <c r="E122" s="203"/>
      <c r="F122" s="203" cm="1">
        <f t="array" ref="F122">IF(F79&gt;e_ecolifetime_yr,0,$E$121/e_ecolifetime_yr)</f>
        <v>0</v>
      </c>
      <c r="G122" s="203" cm="1">
        <f t="array" ref="G122">IF(G79&gt;e_ecolifetime_yr,0,$E$121/e_ecolifetime_yr)</f>
        <v>0</v>
      </c>
      <c r="H122" s="203" cm="1">
        <f t="array" ref="H122">IF(H79&gt;e_ecolifetime_yr,0,$E$121/e_ecolifetime_yr)</f>
        <v>0</v>
      </c>
      <c r="I122" s="203" cm="1">
        <f t="array" ref="I122">IF(I79&gt;e_ecolifetime_yr,0,$E$121/e_ecolifetime_yr)</f>
        <v>0</v>
      </c>
      <c r="J122" s="203" cm="1">
        <f t="array" ref="J122">IF(J79&gt;e_ecolifetime_yr,0,$E$121/e_ecolifetime_yr)</f>
        <v>0</v>
      </c>
      <c r="K122" s="203" cm="1">
        <f t="array" ref="K122">IF(K79&gt;e_ecolifetime_yr,0,$E$121/e_ecolifetime_yr)</f>
        <v>0</v>
      </c>
      <c r="L122" s="203" cm="1">
        <f t="array" ref="L122">IF(L79&gt;e_ecolifetime_yr,0,$E$121/e_ecolifetime_yr)</f>
        <v>0</v>
      </c>
      <c r="M122" s="203" cm="1">
        <f t="array" ref="M122">IF(M79&gt;e_ecolifetime_yr,0,$E$121/e_ecolifetime_yr)</f>
        <v>0</v>
      </c>
      <c r="N122" s="203" cm="1">
        <f t="array" ref="N122">IF(N79&gt;e_ecolifetime_yr,0,$E$121/e_ecolifetime_yr)</f>
        <v>0</v>
      </c>
      <c r="O122" s="203" cm="1">
        <f t="array" ref="O122">IF(O79&gt;e_ecolifetime_yr,0,$E$121/e_ecolifetime_yr)</f>
        <v>0</v>
      </c>
      <c r="P122" s="203" cm="1">
        <f t="array" ref="P122">IF(P79&gt;e_ecolifetime_yr,0,$E$121/e_ecolifetime_yr)</f>
        <v>0</v>
      </c>
      <c r="Q122" s="203" cm="1">
        <f t="array" ref="Q122">IF(Q79&gt;e_ecolifetime_yr,0,$E$121/e_ecolifetime_yr)</f>
        <v>0</v>
      </c>
      <c r="R122" s="203" cm="1">
        <f t="array" ref="R122">IF(R79&gt;e_ecolifetime_yr,0,$E$121/e_ecolifetime_yr)</f>
        <v>0</v>
      </c>
      <c r="S122" s="203" cm="1">
        <f t="array" ref="S122">IF(S79&gt;e_ecolifetime_yr,0,$E$121/e_ecolifetime_yr)</f>
        <v>0</v>
      </c>
      <c r="T122" s="203" cm="1">
        <f t="array" ref="T122">IF(T79&gt;e_ecolifetime_yr,0,$E$121/e_ecolifetime_yr)</f>
        <v>0</v>
      </c>
      <c r="U122" s="203" cm="1">
        <f t="array" ref="U122">IF(U79&gt;e_ecolifetime_yr,0,$E$121/e_ecolifetime_yr)</f>
        <v>0</v>
      </c>
      <c r="V122" s="203" cm="1">
        <f t="array" ref="V122">IF(V79&gt;e_ecolifetime_yr,0,$E$121/e_ecolifetime_yr)</f>
        <v>0</v>
      </c>
      <c r="W122" s="203" cm="1">
        <f t="array" ref="W122">IF(W79&gt;e_ecolifetime_yr,0,$E$121/e_ecolifetime_yr)</f>
        <v>0</v>
      </c>
      <c r="X122" s="203" cm="1">
        <f t="array" ref="X122">IF(X79&gt;e_ecolifetime_yr,0,$E$121/e_ecolifetime_yr)</f>
        <v>0</v>
      </c>
      <c r="Y122" s="203" cm="1">
        <f t="array" ref="Y122">IF(Y79&gt;e_ecolifetime_yr,0,$E$121/e_ecolifetime_yr)</f>
        <v>0</v>
      </c>
      <c r="Z122" s="203" cm="1">
        <f t="array" ref="Z122">IF(Z79&gt;e_ecolifetime_yr,0,$E$121/e_ecolifetime_yr)</f>
        <v>0</v>
      </c>
      <c r="AA122" s="203" cm="1">
        <f t="array" ref="AA122">IF(AA79&gt;e_ecolifetime_yr,0,$E$121/e_ecolifetime_yr)</f>
        <v>0</v>
      </c>
      <c r="AB122" s="203" cm="1">
        <f t="array" ref="AB122">IF(AB79&gt;e_ecolifetime_yr,0,$E$121/e_ecolifetime_yr)</f>
        <v>0</v>
      </c>
      <c r="AC122" s="203" cm="1">
        <f t="array" ref="AC122">IF(AC79&gt;e_ecolifetime_yr,0,$E$121/e_ecolifetime_yr)</f>
        <v>0</v>
      </c>
      <c r="AD122" s="203" cm="1">
        <f t="array" ref="AD122">IF(AD79&gt;e_ecolifetime_yr,0,$E$121/e_ecolifetime_yr)</f>
        <v>0</v>
      </c>
      <c r="AE122" s="203" cm="1">
        <f t="array" ref="AE122">IF(AE79&gt;e_ecolifetime_yr,0,$E$121/e_ecolifetime_yr)</f>
        <v>0</v>
      </c>
      <c r="AF122" s="203" cm="1">
        <f t="array" ref="AF122">IF(AF79&gt;e_ecolifetime_yr,0,$E$121/e_ecolifetime_yr)</f>
        <v>0</v>
      </c>
      <c r="AG122" s="203" cm="1">
        <f t="array" ref="AG122">IF(AG79&gt;e_ecolifetime_yr,0,$E$121/e_ecolifetime_yr)</f>
        <v>0</v>
      </c>
      <c r="AH122" s="203" cm="1">
        <f t="array" ref="AH122">IF(AH79&gt;e_ecolifetime_yr,0,$E$121/e_ecolifetime_yr)</f>
        <v>0</v>
      </c>
      <c r="AI122" s="206" cm="1">
        <f t="array" ref="AI122">IF(AI79&gt;e_ecolifetime_yr,0,$E$121/e_ecolifetime_yr)</f>
        <v>0</v>
      </c>
    </row>
    <row r="123" spans="2:35" x14ac:dyDescent="0.2">
      <c r="B123" s="211" t="s">
        <v>468</v>
      </c>
      <c r="C123" s="47"/>
      <c r="D123" s="47"/>
      <c r="E123" s="212"/>
      <c r="F123" s="212">
        <f>IF(F114-F120&gt;0,F114-F120,0)</f>
        <v>0</v>
      </c>
      <c r="G123" s="212">
        <f t="shared" ref="G123:AI123" si="5">IF(G114-G120&gt;0,G114-G120,0)</f>
        <v>0</v>
      </c>
      <c r="H123" s="212">
        <f t="shared" si="5"/>
        <v>0</v>
      </c>
      <c r="I123" s="212">
        <f t="shared" si="5"/>
        <v>0</v>
      </c>
      <c r="J123" s="212">
        <f t="shared" si="5"/>
        <v>0</v>
      </c>
      <c r="K123" s="212">
        <f t="shared" si="5"/>
        <v>0</v>
      </c>
      <c r="L123" s="212">
        <f t="shared" si="5"/>
        <v>0</v>
      </c>
      <c r="M123" s="212">
        <f t="shared" si="5"/>
        <v>0</v>
      </c>
      <c r="N123" s="212">
        <f t="shared" si="5"/>
        <v>0</v>
      </c>
      <c r="O123" s="212">
        <f t="shared" si="5"/>
        <v>0</v>
      </c>
      <c r="P123" s="212">
        <f t="shared" si="5"/>
        <v>0</v>
      </c>
      <c r="Q123" s="212">
        <f t="shared" si="5"/>
        <v>0</v>
      </c>
      <c r="R123" s="212">
        <f t="shared" si="5"/>
        <v>0</v>
      </c>
      <c r="S123" s="212">
        <f t="shared" si="5"/>
        <v>0</v>
      </c>
      <c r="T123" s="212">
        <f t="shared" si="5"/>
        <v>0</v>
      </c>
      <c r="U123" s="212">
        <f t="shared" si="5"/>
        <v>0</v>
      </c>
      <c r="V123" s="212">
        <f t="shared" si="5"/>
        <v>0</v>
      </c>
      <c r="W123" s="212">
        <f t="shared" si="5"/>
        <v>0</v>
      </c>
      <c r="X123" s="212">
        <f t="shared" si="5"/>
        <v>0</v>
      </c>
      <c r="Y123" s="212">
        <f t="shared" si="5"/>
        <v>0</v>
      </c>
      <c r="Z123" s="212">
        <f t="shared" si="5"/>
        <v>0</v>
      </c>
      <c r="AA123" s="212">
        <f t="shared" si="5"/>
        <v>0</v>
      </c>
      <c r="AB123" s="212">
        <f t="shared" si="5"/>
        <v>0</v>
      </c>
      <c r="AC123" s="212">
        <f t="shared" si="5"/>
        <v>0</v>
      </c>
      <c r="AD123" s="212">
        <f t="shared" si="5"/>
        <v>0</v>
      </c>
      <c r="AE123" s="212">
        <f t="shared" si="5"/>
        <v>0</v>
      </c>
      <c r="AF123" s="212">
        <f t="shared" si="5"/>
        <v>0</v>
      </c>
      <c r="AG123" s="212">
        <f t="shared" si="5"/>
        <v>0</v>
      </c>
      <c r="AH123" s="212">
        <f t="shared" si="5"/>
        <v>0</v>
      </c>
      <c r="AI123" s="213">
        <f t="shared" si="5"/>
        <v>0</v>
      </c>
    </row>
    <row r="124" spans="2:35" x14ac:dyDescent="0.2">
      <c r="B124" s="44" t="s">
        <v>469</v>
      </c>
      <c r="C124" s="9"/>
      <c r="D124" s="9"/>
      <c r="E124" s="208"/>
      <c r="F124" s="208">
        <f>F114-F121-F122</f>
        <v>0</v>
      </c>
      <c r="G124" s="208">
        <f t="shared" ref="G124:AI124" si="6">G114-G121-G122</f>
        <v>0</v>
      </c>
      <c r="H124" s="208">
        <f t="shared" si="6"/>
        <v>0</v>
      </c>
      <c r="I124" s="208">
        <f t="shared" si="6"/>
        <v>0</v>
      </c>
      <c r="J124" s="208">
        <f t="shared" si="6"/>
        <v>0</v>
      </c>
      <c r="K124" s="208">
        <f t="shared" si="6"/>
        <v>0</v>
      </c>
      <c r="L124" s="208">
        <f t="shared" si="6"/>
        <v>0</v>
      </c>
      <c r="M124" s="208">
        <f t="shared" si="6"/>
        <v>0</v>
      </c>
      <c r="N124" s="208">
        <f t="shared" si="6"/>
        <v>0</v>
      </c>
      <c r="O124" s="208">
        <f t="shared" si="6"/>
        <v>0</v>
      </c>
      <c r="P124" s="208">
        <f t="shared" si="6"/>
        <v>0</v>
      </c>
      <c r="Q124" s="208">
        <f t="shared" si="6"/>
        <v>0</v>
      </c>
      <c r="R124" s="208">
        <f t="shared" si="6"/>
        <v>0</v>
      </c>
      <c r="S124" s="208">
        <f t="shared" si="6"/>
        <v>0</v>
      </c>
      <c r="T124" s="208">
        <f t="shared" si="6"/>
        <v>0</v>
      </c>
      <c r="U124" s="208">
        <f t="shared" si="6"/>
        <v>0</v>
      </c>
      <c r="V124" s="208">
        <f t="shared" si="6"/>
        <v>0</v>
      </c>
      <c r="W124" s="208">
        <f t="shared" si="6"/>
        <v>0</v>
      </c>
      <c r="X124" s="208">
        <f t="shared" si="6"/>
        <v>0</v>
      </c>
      <c r="Y124" s="208">
        <f t="shared" si="6"/>
        <v>0</v>
      </c>
      <c r="Z124" s="208">
        <f t="shared" si="6"/>
        <v>0</v>
      </c>
      <c r="AA124" s="208">
        <f t="shared" si="6"/>
        <v>0</v>
      </c>
      <c r="AB124" s="208">
        <f t="shared" si="6"/>
        <v>0</v>
      </c>
      <c r="AC124" s="208">
        <f t="shared" si="6"/>
        <v>0</v>
      </c>
      <c r="AD124" s="208">
        <f t="shared" si="6"/>
        <v>0</v>
      </c>
      <c r="AE124" s="208">
        <f t="shared" si="6"/>
        <v>0</v>
      </c>
      <c r="AF124" s="208">
        <f t="shared" si="6"/>
        <v>0</v>
      </c>
      <c r="AG124" s="208">
        <f t="shared" si="6"/>
        <v>0</v>
      </c>
      <c r="AH124" s="208">
        <f t="shared" si="6"/>
        <v>0</v>
      </c>
      <c r="AI124" s="209">
        <f t="shared" si="6"/>
        <v>0</v>
      </c>
    </row>
    <row r="125" spans="2:35" x14ac:dyDescent="0.2">
      <c r="B125" s="46" t="s">
        <v>470</v>
      </c>
      <c r="C125" s="11"/>
      <c r="D125" s="7"/>
      <c r="E125" s="95"/>
      <c r="F125" s="95" cm="1">
        <f t="array" ref="F125">F123*e_taxrate_BE</f>
        <v>0</v>
      </c>
      <c r="G125" s="95" cm="1">
        <f t="array" ref="G125">G123*e_taxrate_BE</f>
        <v>0</v>
      </c>
      <c r="H125" s="95" cm="1">
        <f t="array" ref="H125">H123*e_taxrate_BE</f>
        <v>0</v>
      </c>
      <c r="I125" s="95" cm="1">
        <f t="array" ref="I125">I123*e_taxrate_BE</f>
        <v>0</v>
      </c>
      <c r="J125" s="95" cm="1">
        <f t="array" ref="J125">J123*e_taxrate_BE</f>
        <v>0</v>
      </c>
      <c r="K125" s="95" cm="1">
        <f t="array" ref="K125">K123*e_taxrate_BE</f>
        <v>0</v>
      </c>
      <c r="L125" s="95" cm="1">
        <f t="array" ref="L125">L123*e_taxrate_BE</f>
        <v>0</v>
      </c>
      <c r="M125" s="95" cm="1">
        <f t="array" ref="M125">M123*e_taxrate_BE</f>
        <v>0</v>
      </c>
      <c r="N125" s="95" cm="1">
        <f t="array" ref="N125">N123*e_taxrate_BE</f>
        <v>0</v>
      </c>
      <c r="O125" s="95" cm="1">
        <f t="array" ref="O125">O123*e_taxrate_BE</f>
        <v>0</v>
      </c>
      <c r="P125" s="95" cm="1">
        <f t="array" ref="P125">P123*e_taxrate_BE</f>
        <v>0</v>
      </c>
      <c r="Q125" s="95" cm="1">
        <f t="array" ref="Q125">Q123*e_taxrate_BE</f>
        <v>0</v>
      </c>
      <c r="R125" s="95" cm="1">
        <f t="array" ref="R125">R123*e_taxrate_BE</f>
        <v>0</v>
      </c>
      <c r="S125" s="95" cm="1">
        <f t="array" ref="S125">S123*e_taxrate_BE</f>
        <v>0</v>
      </c>
      <c r="T125" s="95" cm="1">
        <f t="array" ref="T125">T123*e_taxrate_BE</f>
        <v>0</v>
      </c>
      <c r="U125" s="95" cm="1">
        <f t="array" ref="U125">U123*e_taxrate_BE</f>
        <v>0</v>
      </c>
      <c r="V125" s="95" cm="1">
        <f t="array" ref="V125">V123*e_taxrate_BE</f>
        <v>0</v>
      </c>
      <c r="W125" s="95" cm="1">
        <f t="array" ref="W125">W123*e_taxrate_BE</f>
        <v>0</v>
      </c>
      <c r="X125" s="95" cm="1">
        <f t="array" ref="X125">X123*e_taxrate_BE</f>
        <v>0</v>
      </c>
      <c r="Y125" s="95" cm="1">
        <f t="array" ref="Y125">Y123*e_taxrate_BE</f>
        <v>0</v>
      </c>
      <c r="Z125" s="95" cm="1">
        <f t="array" ref="Z125">Z123*e_taxrate_BE</f>
        <v>0</v>
      </c>
      <c r="AA125" s="95" cm="1">
        <f t="array" ref="AA125">AA123*e_taxrate_BE</f>
        <v>0</v>
      </c>
      <c r="AB125" s="95" cm="1">
        <f t="array" ref="AB125">AB123*e_taxrate_BE</f>
        <v>0</v>
      </c>
      <c r="AC125" s="95" cm="1">
        <f t="array" ref="AC125">AC123*e_taxrate_BE</f>
        <v>0</v>
      </c>
      <c r="AD125" s="95" cm="1">
        <f t="array" ref="AD125">AD123*e_taxrate_BE</f>
        <v>0</v>
      </c>
      <c r="AE125" s="95" cm="1">
        <f t="array" ref="AE125">AE123*e_taxrate_BE</f>
        <v>0</v>
      </c>
      <c r="AF125" s="95" cm="1">
        <f t="array" ref="AF125">AF123*e_taxrate_BE</f>
        <v>0</v>
      </c>
      <c r="AG125" s="95" cm="1">
        <f t="array" ref="AG125">AG123*e_taxrate_BE</f>
        <v>0</v>
      </c>
      <c r="AH125" s="95" cm="1">
        <f t="array" ref="AH125">AH123*e_taxrate_BE</f>
        <v>0</v>
      </c>
      <c r="AI125" s="210" cm="1">
        <f t="array" ref="AI125">AI123*e_taxrate_BE</f>
        <v>0</v>
      </c>
    </row>
    <row r="126" spans="2:35" x14ac:dyDescent="0.2">
      <c r="B126" s="44" t="s">
        <v>471</v>
      </c>
      <c r="C126" s="9"/>
      <c r="D126" s="9"/>
      <c r="E126" s="208">
        <f>-E80+E121</f>
        <v>0</v>
      </c>
      <c r="F126" s="208">
        <f>IF(F124&gt;0,F124-F125,F124)</f>
        <v>0</v>
      </c>
      <c r="G126" s="208">
        <f t="shared" ref="G126:AI126" si="7">IF(G124&gt;0,G124-G125,G124)</f>
        <v>0</v>
      </c>
      <c r="H126" s="208">
        <f t="shared" si="7"/>
        <v>0</v>
      </c>
      <c r="I126" s="208">
        <f t="shared" si="7"/>
        <v>0</v>
      </c>
      <c r="J126" s="208">
        <f t="shared" si="7"/>
        <v>0</v>
      </c>
      <c r="K126" s="208">
        <f t="shared" si="7"/>
        <v>0</v>
      </c>
      <c r="L126" s="208">
        <f t="shared" si="7"/>
        <v>0</v>
      </c>
      <c r="M126" s="208">
        <f t="shared" si="7"/>
        <v>0</v>
      </c>
      <c r="N126" s="208">
        <f t="shared" si="7"/>
        <v>0</v>
      </c>
      <c r="O126" s="208">
        <f t="shared" si="7"/>
        <v>0</v>
      </c>
      <c r="P126" s="208">
        <f t="shared" si="7"/>
        <v>0</v>
      </c>
      <c r="Q126" s="208">
        <f t="shared" si="7"/>
        <v>0</v>
      </c>
      <c r="R126" s="208">
        <f t="shared" si="7"/>
        <v>0</v>
      </c>
      <c r="S126" s="208">
        <f t="shared" si="7"/>
        <v>0</v>
      </c>
      <c r="T126" s="208">
        <f t="shared" si="7"/>
        <v>0</v>
      </c>
      <c r="U126" s="208">
        <f t="shared" si="7"/>
        <v>0</v>
      </c>
      <c r="V126" s="208">
        <f t="shared" si="7"/>
        <v>0</v>
      </c>
      <c r="W126" s="208">
        <f t="shared" si="7"/>
        <v>0</v>
      </c>
      <c r="X126" s="208">
        <f t="shared" si="7"/>
        <v>0</v>
      </c>
      <c r="Y126" s="208">
        <f t="shared" si="7"/>
        <v>0</v>
      </c>
      <c r="Z126" s="208">
        <f t="shared" si="7"/>
        <v>0</v>
      </c>
      <c r="AA126" s="208">
        <f t="shared" si="7"/>
        <v>0</v>
      </c>
      <c r="AB126" s="208">
        <f t="shared" si="7"/>
        <v>0</v>
      </c>
      <c r="AC126" s="208">
        <f t="shared" si="7"/>
        <v>0</v>
      </c>
      <c r="AD126" s="208">
        <f t="shared" si="7"/>
        <v>0</v>
      </c>
      <c r="AE126" s="208">
        <f t="shared" si="7"/>
        <v>0</v>
      </c>
      <c r="AF126" s="208">
        <f t="shared" si="7"/>
        <v>0</v>
      </c>
      <c r="AG126" s="208">
        <f t="shared" si="7"/>
        <v>0</v>
      </c>
      <c r="AH126" s="208">
        <f t="shared" si="7"/>
        <v>0</v>
      </c>
      <c r="AI126" s="209">
        <f t="shared" si="7"/>
        <v>0</v>
      </c>
    </row>
    <row r="127" spans="2:35" x14ac:dyDescent="0.2">
      <c r="B127" s="46" t="s">
        <v>472</v>
      </c>
      <c r="C127" s="11"/>
      <c r="D127" s="7"/>
      <c r="E127" s="95"/>
      <c r="F127" s="95" cm="1">
        <f t="array" ref="F127">F126/(1+e_WACC)^F79</f>
        <v>0</v>
      </c>
      <c r="G127" s="95" cm="1">
        <f t="array" ref="G127">G126/(1+e_WACC)^G79</f>
        <v>0</v>
      </c>
      <c r="H127" s="95" cm="1">
        <f t="array" ref="H127">H126/(1+e_WACC)^H79</f>
        <v>0</v>
      </c>
      <c r="I127" s="95" cm="1">
        <f t="array" ref="I127">I126/(1+e_WACC)^I79</f>
        <v>0</v>
      </c>
      <c r="J127" s="95" cm="1">
        <f t="array" ref="J127">J126/(1+e_WACC)^J79</f>
        <v>0</v>
      </c>
      <c r="K127" s="95" cm="1">
        <f t="array" ref="K127">K126/(1+e_WACC)^K79</f>
        <v>0</v>
      </c>
      <c r="L127" s="95" cm="1">
        <f t="array" ref="L127">L126/(1+e_WACC)^L79</f>
        <v>0</v>
      </c>
      <c r="M127" s="95" cm="1">
        <f t="array" ref="M127">M126/(1+e_WACC)^M79</f>
        <v>0</v>
      </c>
      <c r="N127" s="95" cm="1">
        <f t="array" ref="N127">N126/(1+e_WACC)^N79</f>
        <v>0</v>
      </c>
      <c r="O127" s="95" cm="1">
        <f t="array" ref="O127">O126/(1+e_WACC)^O79</f>
        <v>0</v>
      </c>
      <c r="P127" s="95" cm="1">
        <f t="array" ref="P127">P126/(1+e_WACC)^P79</f>
        <v>0</v>
      </c>
      <c r="Q127" s="95" cm="1">
        <f t="array" ref="Q127">Q126/(1+e_WACC)^Q79</f>
        <v>0</v>
      </c>
      <c r="R127" s="95" cm="1">
        <f t="array" ref="R127">R126/(1+e_WACC)^R79</f>
        <v>0</v>
      </c>
      <c r="S127" s="95" cm="1">
        <f t="array" ref="S127">S126/(1+e_WACC)^S79</f>
        <v>0</v>
      </c>
      <c r="T127" s="95" cm="1">
        <f t="array" ref="T127">T126/(1+e_WACC)^T79</f>
        <v>0</v>
      </c>
      <c r="U127" s="95" cm="1">
        <f t="array" ref="U127">U126/(1+e_WACC)^U79</f>
        <v>0</v>
      </c>
      <c r="V127" s="95" cm="1">
        <f t="array" ref="V127">V126/(1+e_WACC)^V79</f>
        <v>0</v>
      </c>
      <c r="W127" s="95" cm="1">
        <f t="array" ref="W127">W126/(1+e_WACC)^W79</f>
        <v>0</v>
      </c>
      <c r="X127" s="95" cm="1">
        <f t="array" ref="X127">X126/(1+e_WACC)^X79</f>
        <v>0</v>
      </c>
      <c r="Y127" s="95" cm="1">
        <f t="array" ref="Y127">Y126/(1+e_WACC)^Y79</f>
        <v>0</v>
      </c>
      <c r="Z127" s="95" cm="1">
        <f t="array" ref="Z127">Z126/(1+e_WACC)^Z79</f>
        <v>0</v>
      </c>
      <c r="AA127" s="95" cm="1">
        <f t="array" ref="AA127">AA126/(1+e_WACC)^AA79</f>
        <v>0</v>
      </c>
      <c r="AB127" s="95" cm="1">
        <f t="array" ref="AB127">AB126/(1+e_WACC)^AB79</f>
        <v>0</v>
      </c>
      <c r="AC127" s="95" cm="1">
        <f t="array" ref="AC127">AC126/(1+e_WACC)^AC79</f>
        <v>0</v>
      </c>
      <c r="AD127" s="95" cm="1">
        <f t="array" ref="AD127">AD126/(1+e_WACC)^AD79</f>
        <v>0</v>
      </c>
      <c r="AE127" s="95" cm="1">
        <f t="array" ref="AE127">AE126/(1+e_WACC)^AE79</f>
        <v>0</v>
      </c>
      <c r="AF127" s="95" cm="1">
        <f t="array" ref="AF127">AF126/(1+e_WACC)^AF79</f>
        <v>0</v>
      </c>
      <c r="AG127" s="95" cm="1">
        <f t="array" ref="AG127">AG126/(1+e_WACC)^AG79</f>
        <v>0</v>
      </c>
      <c r="AH127" s="95" cm="1">
        <f t="array" ref="AH127">AH126/(1+e_WACC)^AH79</f>
        <v>0</v>
      </c>
      <c r="AI127" s="210" cm="1">
        <f t="array" ref="AI127">AI126/(1+e_WACC)^AI79</f>
        <v>0</v>
      </c>
    </row>
    <row r="128" spans="2:35" x14ac:dyDescent="0.2">
      <c r="B128" s="44" t="s">
        <v>473</v>
      </c>
      <c r="C128" s="9"/>
      <c r="E128" s="203"/>
      <c r="F128" s="203">
        <f>E126+F126</f>
        <v>0</v>
      </c>
      <c r="G128" s="203">
        <f>F128+G126</f>
        <v>0</v>
      </c>
      <c r="H128" s="203">
        <f>G128+H126</f>
        <v>0</v>
      </c>
      <c r="I128" s="203">
        <f t="shared" ref="I128:AI129" si="8">H128+I126</f>
        <v>0</v>
      </c>
      <c r="J128" s="203">
        <f t="shared" si="8"/>
        <v>0</v>
      </c>
      <c r="K128" s="203">
        <f t="shared" si="8"/>
        <v>0</v>
      </c>
      <c r="L128" s="203">
        <f t="shared" si="8"/>
        <v>0</v>
      </c>
      <c r="M128" s="203">
        <f t="shared" si="8"/>
        <v>0</v>
      </c>
      <c r="N128" s="203">
        <f t="shared" si="8"/>
        <v>0</v>
      </c>
      <c r="O128" s="203">
        <f t="shared" si="8"/>
        <v>0</v>
      </c>
      <c r="P128" s="203">
        <f t="shared" si="8"/>
        <v>0</v>
      </c>
      <c r="Q128" s="203">
        <f t="shared" si="8"/>
        <v>0</v>
      </c>
      <c r="R128" s="203">
        <f t="shared" si="8"/>
        <v>0</v>
      </c>
      <c r="S128" s="203">
        <f t="shared" si="8"/>
        <v>0</v>
      </c>
      <c r="T128" s="203">
        <f t="shared" si="8"/>
        <v>0</v>
      </c>
      <c r="U128" s="203">
        <f t="shared" si="8"/>
        <v>0</v>
      </c>
      <c r="V128" s="203">
        <f t="shared" si="8"/>
        <v>0</v>
      </c>
      <c r="W128" s="203">
        <f t="shared" si="8"/>
        <v>0</v>
      </c>
      <c r="X128" s="203">
        <f t="shared" si="8"/>
        <v>0</v>
      </c>
      <c r="Y128" s="203">
        <f t="shared" si="8"/>
        <v>0</v>
      </c>
      <c r="Z128" s="203">
        <f t="shared" si="8"/>
        <v>0</v>
      </c>
      <c r="AA128" s="203">
        <f t="shared" si="8"/>
        <v>0</v>
      </c>
      <c r="AB128" s="203">
        <f t="shared" si="8"/>
        <v>0</v>
      </c>
      <c r="AC128" s="203">
        <f t="shared" si="8"/>
        <v>0</v>
      </c>
      <c r="AD128" s="203">
        <f t="shared" si="8"/>
        <v>0</v>
      </c>
      <c r="AE128" s="203">
        <f t="shared" si="8"/>
        <v>0</v>
      </c>
      <c r="AF128" s="203">
        <f t="shared" si="8"/>
        <v>0</v>
      </c>
      <c r="AG128" s="203">
        <f t="shared" si="8"/>
        <v>0</v>
      </c>
      <c r="AH128" s="203">
        <f t="shared" si="8"/>
        <v>0</v>
      </c>
      <c r="AI128" s="206">
        <f t="shared" si="8"/>
        <v>0</v>
      </c>
    </row>
    <row r="129" spans="2:35" x14ac:dyDescent="0.2">
      <c r="B129" s="44" t="s">
        <v>474</v>
      </c>
      <c r="C129" s="9"/>
      <c r="E129" s="203"/>
      <c r="F129" s="203">
        <f>E126+F127</f>
        <v>0</v>
      </c>
      <c r="G129" s="203">
        <f>F129+G127</f>
        <v>0</v>
      </c>
      <c r="H129" s="203">
        <f>G129+H127</f>
        <v>0</v>
      </c>
      <c r="I129" s="203">
        <f t="shared" si="8"/>
        <v>0</v>
      </c>
      <c r="J129" s="203">
        <f t="shared" si="8"/>
        <v>0</v>
      </c>
      <c r="K129" s="203">
        <f t="shared" si="8"/>
        <v>0</v>
      </c>
      <c r="L129" s="203">
        <f t="shared" si="8"/>
        <v>0</v>
      </c>
      <c r="M129" s="203">
        <f t="shared" si="8"/>
        <v>0</v>
      </c>
      <c r="N129" s="203">
        <f t="shared" si="8"/>
        <v>0</v>
      </c>
      <c r="O129" s="203">
        <f t="shared" si="8"/>
        <v>0</v>
      </c>
      <c r="P129" s="203">
        <f t="shared" si="8"/>
        <v>0</v>
      </c>
      <c r="Q129" s="203">
        <f t="shared" si="8"/>
        <v>0</v>
      </c>
      <c r="R129" s="203">
        <f t="shared" si="8"/>
        <v>0</v>
      </c>
      <c r="S129" s="203">
        <f t="shared" si="8"/>
        <v>0</v>
      </c>
      <c r="T129" s="203">
        <f t="shared" si="8"/>
        <v>0</v>
      </c>
      <c r="U129" s="203">
        <f t="shared" si="8"/>
        <v>0</v>
      </c>
      <c r="V129" s="203">
        <f t="shared" si="8"/>
        <v>0</v>
      </c>
      <c r="W129" s="203">
        <f t="shared" si="8"/>
        <v>0</v>
      </c>
      <c r="X129" s="203">
        <f t="shared" si="8"/>
        <v>0</v>
      </c>
      <c r="Y129" s="203">
        <f t="shared" si="8"/>
        <v>0</v>
      </c>
      <c r="Z129" s="203">
        <f t="shared" si="8"/>
        <v>0</v>
      </c>
      <c r="AA129" s="203">
        <f t="shared" si="8"/>
        <v>0</v>
      </c>
      <c r="AB129" s="203">
        <f t="shared" si="8"/>
        <v>0</v>
      </c>
      <c r="AC129" s="203">
        <f t="shared" si="8"/>
        <v>0</v>
      </c>
      <c r="AD129" s="203">
        <f t="shared" si="8"/>
        <v>0</v>
      </c>
      <c r="AE129" s="203">
        <f t="shared" si="8"/>
        <v>0</v>
      </c>
      <c r="AF129" s="203">
        <f t="shared" si="8"/>
        <v>0</v>
      </c>
      <c r="AG129" s="203">
        <f t="shared" si="8"/>
        <v>0</v>
      </c>
      <c r="AH129" s="203">
        <f t="shared" si="8"/>
        <v>0</v>
      </c>
      <c r="AI129" s="206">
        <f t="shared" si="8"/>
        <v>0</v>
      </c>
    </row>
    <row r="130" spans="2:35" x14ac:dyDescent="0.2">
      <c r="B130" s="44" t="s">
        <v>190</v>
      </c>
      <c r="C130" s="9"/>
      <c r="F130" s="1" t="e">
        <f>IF(F128&lt;0,1,-E126/F126)</f>
        <v>#DIV/0!</v>
      </c>
      <c r="G130" s="1" t="e">
        <f>IF(G128&lt;0,1,-F128/G126)</f>
        <v>#DIV/0!</v>
      </c>
      <c r="H130" s="1" t="e">
        <f>IF(H128&lt;0,1,-G128/H126)</f>
        <v>#DIV/0!</v>
      </c>
      <c r="I130" s="1" t="e">
        <f t="shared" ref="I130:AI131" si="9">IF(I128&lt;0,1,-H128/I126)</f>
        <v>#DIV/0!</v>
      </c>
      <c r="J130" s="1" t="e">
        <f t="shared" si="9"/>
        <v>#DIV/0!</v>
      </c>
      <c r="K130" s="1" t="e">
        <f t="shared" si="9"/>
        <v>#DIV/0!</v>
      </c>
      <c r="L130" s="1" t="e">
        <f t="shared" si="9"/>
        <v>#DIV/0!</v>
      </c>
      <c r="M130" s="1" t="e">
        <f t="shared" si="9"/>
        <v>#DIV/0!</v>
      </c>
      <c r="N130" s="1" t="e">
        <f t="shared" si="9"/>
        <v>#DIV/0!</v>
      </c>
      <c r="O130" s="1" t="e">
        <f t="shared" si="9"/>
        <v>#DIV/0!</v>
      </c>
      <c r="P130" s="1" t="e">
        <f t="shared" si="9"/>
        <v>#DIV/0!</v>
      </c>
      <c r="Q130" s="1" t="e">
        <f t="shared" si="9"/>
        <v>#DIV/0!</v>
      </c>
      <c r="R130" s="1" t="e">
        <f t="shared" si="9"/>
        <v>#DIV/0!</v>
      </c>
      <c r="S130" s="1" t="e">
        <f t="shared" si="9"/>
        <v>#DIV/0!</v>
      </c>
      <c r="T130" s="1" t="e">
        <f t="shared" si="9"/>
        <v>#DIV/0!</v>
      </c>
      <c r="U130" s="1" t="e">
        <f t="shared" si="9"/>
        <v>#DIV/0!</v>
      </c>
      <c r="V130" s="1" t="e">
        <f t="shared" si="9"/>
        <v>#DIV/0!</v>
      </c>
      <c r="W130" s="1" t="e">
        <f t="shared" si="9"/>
        <v>#DIV/0!</v>
      </c>
      <c r="X130" s="1" t="e">
        <f t="shared" si="9"/>
        <v>#DIV/0!</v>
      </c>
      <c r="Y130" s="1" t="e">
        <f t="shared" si="9"/>
        <v>#DIV/0!</v>
      </c>
      <c r="Z130" s="1" t="e">
        <f t="shared" si="9"/>
        <v>#DIV/0!</v>
      </c>
      <c r="AA130" s="1" t="e">
        <f t="shared" si="9"/>
        <v>#DIV/0!</v>
      </c>
      <c r="AB130" s="1" t="e">
        <f t="shared" si="9"/>
        <v>#DIV/0!</v>
      </c>
      <c r="AC130" s="1" t="e">
        <f t="shared" si="9"/>
        <v>#DIV/0!</v>
      </c>
      <c r="AD130" s="1" t="e">
        <f t="shared" si="9"/>
        <v>#DIV/0!</v>
      </c>
      <c r="AE130" s="1" t="e">
        <f t="shared" si="9"/>
        <v>#DIV/0!</v>
      </c>
      <c r="AF130" s="1" t="e">
        <f t="shared" si="9"/>
        <v>#DIV/0!</v>
      </c>
      <c r="AG130" s="1" t="e">
        <f t="shared" si="9"/>
        <v>#DIV/0!</v>
      </c>
      <c r="AH130" s="1" t="e">
        <f t="shared" si="9"/>
        <v>#DIV/0!</v>
      </c>
      <c r="AI130" s="48" t="e">
        <f t="shared" si="9"/>
        <v>#DIV/0!</v>
      </c>
    </row>
    <row r="131" spans="2:35" x14ac:dyDescent="0.2">
      <c r="B131" s="46" t="s">
        <v>192</v>
      </c>
      <c r="C131" s="11"/>
      <c r="D131" s="7"/>
      <c r="E131" s="7"/>
      <c r="F131" s="7" t="e">
        <f>IF(F129&lt;0,1,-E126/F127)</f>
        <v>#DIV/0!</v>
      </c>
      <c r="G131" s="7" t="e">
        <f>IF(G129&lt;0,1,-F129/G127)</f>
        <v>#DIV/0!</v>
      </c>
      <c r="H131" s="7" t="e">
        <f>IF(H129&lt;0,1,-G129/H127)</f>
        <v>#DIV/0!</v>
      </c>
      <c r="I131" s="7" t="e">
        <f t="shared" si="9"/>
        <v>#DIV/0!</v>
      </c>
      <c r="J131" s="7" t="e">
        <f t="shared" si="9"/>
        <v>#DIV/0!</v>
      </c>
      <c r="K131" s="7" t="e">
        <f t="shared" si="9"/>
        <v>#DIV/0!</v>
      </c>
      <c r="L131" s="7" t="e">
        <f t="shared" si="9"/>
        <v>#DIV/0!</v>
      </c>
      <c r="M131" s="7" t="e">
        <f t="shared" si="9"/>
        <v>#DIV/0!</v>
      </c>
      <c r="N131" s="7" t="e">
        <f t="shared" si="9"/>
        <v>#DIV/0!</v>
      </c>
      <c r="O131" s="7" t="e">
        <f t="shared" si="9"/>
        <v>#DIV/0!</v>
      </c>
      <c r="P131" s="7" t="e">
        <f t="shared" si="9"/>
        <v>#DIV/0!</v>
      </c>
      <c r="Q131" s="7" t="e">
        <f t="shared" si="9"/>
        <v>#DIV/0!</v>
      </c>
      <c r="R131" s="7" t="e">
        <f t="shared" si="9"/>
        <v>#DIV/0!</v>
      </c>
      <c r="S131" s="7" t="e">
        <f t="shared" si="9"/>
        <v>#DIV/0!</v>
      </c>
      <c r="T131" s="7" t="e">
        <f t="shared" si="9"/>
        <v>#DIV/0!</v>
      </c>
      <c r="U131" s="7" t="e">
        <f t="shared" si="9"/>
        <v>#DIV/0!</v>
      </c>
      <c r="V131" s="7" t="e">
        <f t="shared" si="9"/>
        <v>#DIV/0!</v>
      </c>
      <c r="W131" s="7" t="e">
        <f t="shared" si="9"/>
        <v>#DIV/0!</v>
      </c>
      <c r="X131" s="7" t="e">
        <f t="shared" si="9"/>
        <v>#DIV/0!</v>
      </c>
      <c r="Y131" s="7" t="e">
        <f t="shared" si="9"/>
        <v>#DIV/0!</v>
      </c>
      <c r="Z131" s="7" t="e">
        <f t="shared" si="9"/>
        <v>#DIV/0!</v>
      </c>
      <c r="AA131" s="7" t="e">
        <f t="shared" si="9"/>
        <v>#DIV/0!</v>
      </c>
      <c r="AB131" s="7" t="e">
        <f t="shared" si="9"/>
        <v>#DIV/0!</v>
      </c>
      <c r="AC131" s="7" t="e">
        <f t="shared" si="9"/>
        <v>#DIV/0!</v>
      </c>
      <c r="AD131" s="7" t="e">
        <f t="shared" si="9"/>
        <v>#DIV/0!</v>
      </c>
      <c r="AE131" s="7" t="e">
        <f t="shared" si="9"/>
        <v>#DIV/0!</v>
      </c>
      <c r="AF131" s="7" t="e">
        <f t="shared" si="9"/>
        <v>#DIV/0!</v>
      </c>
      <c r="AG131" s="7" t="e">
        <f t="shared" si="9"/>
        <v>#DIV/0!</v>
      </c>
      <c r="AH131" s="7" t="e">
        <f t="shared" si="9"/>
        <v>#DIV/0!</v>
      </c>
      <c r="AI131" s="49" t="e">
        <f t="shared" si="9"/>
        <v>#DIV/0!</v>
      </c>
    </row>
    <row r="134" spans="2:35" x14ac:dyDescent="0.2">
      <c r="B134" s="10" t="s">
        <v>475</v>
      </c>
      <c r="C134" s="170" t="s">
        <v>157</v>
      </c>
      <c r="D134" s="179" t="s">
        <v>434</v>
      </c>
    </row>
    <row r="135" spans="2:35" x14ac:dyDescent="0.2">
      <c r="B135" s="47" t="s">
        <v>188</v>
      </c>
      <c r="C135" s="2" t="s">
        <v>184</v>
      </c>
      <c r="D135" s="173" cm="1">
        <f t="array" ref="D135">NPV(e_WACC,F126:AI126)+E126</f>
        <v>0</v>
      </c>
    </row>
    <row r="136" spans="2:35" x14ac:dyDescent="0.2">
      <c r="B136" s="9" t="s">
        <v>189</v>
      </c>
      <c r="C136" s="2" t="s">
        <v>177</v>
      </c>
      <c r="D136" s="96" t="e">
        <f>IRR(E126:AI126)</f>
        <v>#NUM!</v>
      </c>
    </row>
    <row r="137" spans="2:35" x14ac:dyDescent="0.2">
      <c r="B137" s="9" t="s">
        <v>190</v>
      </c>
      <c r="C137" s="2" t="s">
        <v>191</v>
      </c>
      <c r="D137" s="97">
        <f>SUMIF(F130:AI130,"&gt;0")-SUMIF(F130:AI130,"&gt;1")</f>
        <v>0</v>
      </c>
    </row>
    <row r="138" spans="2:35" x14ac:dyDescent="0.2">
      <c r="B138" s="11" t="s">
        <v>192</v>
      </c>
      <c r="C138" s="133" t="s">
        <v>191</v>
      </c>
      <c r="D138" s="97">
        <f>SUMIF(F131:AI131,"&gt;0")-SUMIF(F131:AI131,"&gt;1")</f>
        <v>0</v>
      </c>
    </row>
    <row r="139" spans="2:35" x14ac:dyDescent="0.2">
      <c r="B139" s="70" t="s">
        <v>193</v>
      </c>
      <c r="C139" s="2" t="s">
        <v>186</v>
      </c>
      <c r="D139" s="173">
        <f>F86</f>
        <v>0</v>
      </c>
    </row>
    <row r="140" spans="2:35" x14ac:dyDescent="0.2">
      <c r="B140" s="20" t="s">
        <v>194</v>
      </c>
      <c r="C140" s="2" t="str">
        <f>'1. Pathway 1'!C140</f>
        <v>€/ton</v>
      </c>
      <c r="D140" s="188"/>
    </row>
    <row r="141" spans="2:35" x14ac:dyDescent="0.2">
      <c r="B141" s="98" t="s">
        <v>195</v>
      </c>
      <c r="C141" s="171" t="str">
        <f>'1. Pathway 1'!C141</f>
        <v>€/ton</v>
      </c>
      <c r="D141" s="189"/>
    </row>
    <row r="142" spans="2:35" x14ac:dyDescent="0.2">
      <c r="B142" s="142" t="s">
        <v>196</v>
      </c>
      <c r="C142" s="172" t="str">
        <f>'1. Pathway 1'!C142</f>
        <v>€/ton</v>
      </c>
      <c r="D142" s="190"/>
    </row>
    <row r="145" spans="2:8" x14ac:dyDescent="0.2">
      <c r="B145" s="193" t="s">
        <v>476</v>
      </c>
      <c r="C145" s="194"/>
      <c r="D145" s="194"/>
      <c r="E145" s="194"/>
      <c r="F145" s="194"/>
      <c r="G145" s="194"/>
      <c r="H145" s="198"/>
    </row>
    <row r="146" spans="2:8" x14ac:dyDescent="0.2">
      <c r="B146" s="195" t="s">
        <v>21</v>
      </c>
      <c r="C146" s="195" t="s">
        <v>156</v>
      </c>
      <c r="D146" s="195"/>
      <c r="E146" s="195" t="s">
        <v>157</v>
      </c>
      <c r="F146" s="195" t="s">
        <v>477</v>
      </c>
      <c r="G146" s="82" t="s">
        <v>443</v>
      </c>
      <c r="H146" s="199"/>
    </row>
    <row r="147" spans="2:8" x14ac:dyDescent="0.2">
      <c r="B147" s="196" t="s">
        <v>478</v>
      </c>
      <c r="C147" s="194"/>
      <c r="D147" s="194"/>
      <c r="E147" s="194"/>
      <c r="F147" s="194"/>
      <c r="G147" s="194"/>
      <c r="H147" s="198"/>
    </row>
    <row r="148" spans="2:8" x14ac:dyDescent="0.2">
      <c r="B148" s="87" t="s">
        <v>49</v>
      </c>
      <c r="C148" s="1" t="s">
        <v>444</v>
      </c>
      <c r="E148" s="1" t="str">
        <f>"kg CO2eq/" &amp; IF(Technology!$C$32="","FU",Technology!$C$32)</f>
        <v>kg CO2eq/FU</v>
      </c>
      <c r="F148" s="140"/>
      <c r="H148" s="48"/>
    </row>
    <row r="149" spans="2:8" x14ac:dyDescent="0.2">
      <c r="B149" s="87"/>
      <c r="C149" s="1" t="s">
        <v>445</v>
      </c>
      <c r="E149" s="1" t="str">
        <f>"kg CO2eq/" &amp; IF(Technology!$C$32="","FU",Technology!$C$32)</f>
        <v>kg CO2eq/FU</v>
      </c>
      <c r="F149" s="140"/>
      <c r="H149" s="48"/>
    </row>
    <row r="150" spans="2:8" x14ac:dyDescent="0.2">
      <c r="B150" s="87"/>
      <c r="C150" s="1" t="s">
        <v>223</v>
      </c>
      <c r="D150" s="1" t="s">
        <v>479</v>
      </c>
      <c r="E150" s="1" t="str">
        <f>"kg CO2eq/" &amp; IF(Technology!$C$32="","FU",Technology!$C$32)</f>
        <v>kg CO2eq/FU</v>
      </c>
      <c r="F150" s="140"/>
      <c r="H150" s="48"/>
    </row>
    <row r="151" spans="2:8" x14ac:dyDescent="0.2">
      <c r="B151" s="87"/>
      <c r="D151" s="1" t="s">
        <v>172</v>
      </c>
      <c r="E151" s="1" t="str">
        <f>"kg CO2eq/" &amp; IF(Technology!$C$32="","FU",Technology!$C$32)</f>
        <v>kg CO2eq/FU</v>
      </c>
      <c r="F151" s="140"/>
      <c r="H151" s="48"/>
    </row>
    <row r="152" spans="2:8" x14ac:dyDescent="0.2">
      <c r="B152" s="87"/>
      <c r="C152" s="1" t="s">
        <v>480</v>
      </c>
      <c r="E152" s="1" t="str">
        <f>"kg CO2eq/" &amp; IF(Technology!$C$32="","FU",Technology!$C$32)</f>
        <v>kg CO2eq/FU</v>
      </c>
      <c r="F152" s="140"/>
      <c r="H152" s="48"/>
    </row>
    <row r="153" spans="2:8" x14ac:dyDescent="0.2">
      <c r="B153" s="87"/>
      <c r="C153" s="1" t="s">
        <v>225</v>
      </c>
      <c r="E153" s="1" t="str">
        <f>"kg CO2eq/" &amp; IF(Technology!$C$32="","FU",Technology!$C$32)</f>
        <v>kg CO2eq/FU</v>
      </c>
      <c r="F153" s="140"/>
      <c r="H153" s="48"/>
    </row>
    <row r="154" spans="2:8" x14ac:dyDescent="0.2">
      <c r="B154" s="87"/>
      <c r="F154" s="140"/>
      <c r="H154" s="48"/>
    </row>
    <row r="155" spans="2:8" x14ac:dyDescent="0.2">
      <c r="B155" s="87" t="s">
        <v>49</v>
      </c>
      <c r="C155" s="1" t="s">
        <v>444</v>
      </c>
      <c r="E155" s="1" t="str">
        <f>"kg CO2eq/" &amp; IF(Technology!$C$32="","FU",Technology!$C$32)</f>
        <v>kg CO2eq/FU</v>
      </c>
      <c r="F155" s="140"/>
      <c r="H155" s="48"/>
    </row>
    <row r="156" spans="2:8" x14ac:dyDescent="0.2">
      <c r="B156" s="87"/>
      <c r="C156" s="1" t="s">
        <v>445</v>
      </c>
      <c r="E156" s="1" t="str">
        <f>"kg CO2eq/" &amp; IF(Technology!$C$32="","FU",Technology!$C$32)</f>
        <v>kg CO2eq/FU</v>
      </c>
      <c r="F156" s="140"/>
      <c r="H156" s="48"/>
    </row>
    <row r="157" spans="2:8" x14ac:dyDescent="0.2">
      <c r="B157" s="87"/>
      <c r="C157" s="1" t="s">
        <v>223</v>
      </c>
      <c r="D157" s="1" t="s">
        <v>170</v>
      </c>
      <c r="E157" s="1" t="str">
        <f>"kg CO2eq/" &amp; IF(Technology!$C$32="","FU",Technology!$C$32)</f>
        <v>kg CO2eq/FU</v>
      </c>
      <c r="F157" s="140"/>
      <c r="H157" s="48"/>
    </row>
    <row r="158" spans="2:8" x14ac:dyDescent="0.2">
      <c r="B158" s="87"/>
      <c r="D158" s="1" t="s">
        <v>172</v>
      </c>
      <c r="E158" s="1" t="str">
        <f>"kg CO2eq/" &amp; IF(Technology!$C$32="","FU",Technology!$C$32)</f>
        <v>kg CO2eq/FU</v>
      </c>
      <c r="F158" s="140"/>
      <c r="H158" s="48"/>
    </row>
    <row r="159" spans="2:8" x14ac:dyDescent="0.2">
      <c r="B159" s="87"/>
      <c r="C159" s="1" t="s">
        <v>480</v>
      </c>
      <c r="E159" s="1" t="str">
        <f>"kg CO2eq/" &amp; IF(Technology!$C$32="","FU",Technology!$C$32)</f>
        <v>kg CO2eq/FU</v>
      </c>
      <c r="F159" s="140"/>
      <c r="H159" s="48"/>
    </row>
    <row r="160" spans="2:8" x14ac:dyDescent="0.2">
      <c r="B160" s="87"/>
      <c r="C160" s="1" t="s">
        <v>225</v>
      </c>
      <c r="E160" s="1" t="str">
        <f>"kg CO2eq/" &amp; IF(Technology!$C$32="","FU",Technology!$C$32)</f>
        <v>kg CO2eq/FU</v>
      </c>
      <c r="F160" s="140"/>
      <c r="H160" s="48"/>
    </row>
    <row r="161" spans="2:8" x14ac:dyDescent="0.2">
      <c r="B161" s="87"/>
      <c r="F161" s="140"/>
      <c r="H161" s="48"/>
    </row>
    <row r="162" spans="2:8" x14ac:dyDescent="0.2">
      <c r="B162" s="82" t="s">
        <v>481</v>
      </c>
      <c r="C162" s="52"/>
      <c r="D162" s="52"/>
      <c r="E162" s="52"/>
      <c r="F162" s="192"/>
      <c r="G162" s="52"/>
      <c r="H162" s="199"/>
    </row>
    <row r="163" spans="2:8" x14ac:dyDescent="0.2">
      <c r="B163" s="87" t="s">
        <v>49</v>
      </c>
      <c r="C163" s="1" t="s">
        <v>444</v>
      </c>
      <c r="E163" s="1" t="str">
        <f>"kg CO2eq/" &amp; IF(Technology!$C$32="","FU",Technology!$C$32)</f>
        <v>kg CO2eq/FU</v>
      </c>
      <c r="F163" s="140"/>
      <c r="H163" s="48"/>
    </row>
    <row r="164" spans="2:8" x14ac:dyDescent="0.2">
      <c r="B164" s="87"/>
      <c r="C164" s="1" t="s">
        <v>445</v>
      </c>
      <c r="E164" s="1" t="str">
        <f>"kg CO2eq/" &amp; IF(Technology!$C$32="","FU",Technology!$C$32)</f>
        <v>kg CO2eq/FU</v>
      </c>
      <c r="F164" s="140"/>
      <c r="H164" s="48"/>
    </row>
    <row r="165" spans="2:8" x14ac:dyDescent="0.2">
      <c r="B165" s="87"/>
      <c r="C165" s="1" t="s">
        <v>223</v>
      </c>
      <c r="D165" s="1" t="s">
        <v>170</v>
      </c>
      <c r="E165" s="1" t="str">
        <f>"kg CO2eq/" &amp; IF(Technology!$C$32="","FU",Technology!$C$32)</f>
        <v>kg CO2eq/FU</v>
      </c>
      <c r="F165" s="140"/>
      <c r="H165" s="48"/>
    </row>
    <row r="166" spans="2:8" x14ac:dyDescent="0.2">
      <c r="B166" s="87"/>
      <c r="D166" s="1" t="s">
        <v>172</v>
      </c>
      <c r="E166" s="1" t="str">
        <f>"kg CO2eq/" &amp; IF(Technology!$C$32="","FU",Technology!$C$32)</f>
        <v>kg CO2eq/FU</v>
      </c>
      <c r="F166" s="140"/>
      <c r="H166" s="48"/>
    </row>
    <row r="167" spans="2:8" x14ac:dyDescent="0.2">
      <c r="B167" s="197"/>
      <c r="C167" s="7"/>
      <c r="D167" s="7"/>
      <c r="E167" s="7"/>
      <c r="F167" s="7"/>
      <c r="G167" s="7"/>
      <c r="H167" s="49"/>
    </row>
    <row r="171" spans="2:8" x14ac:dyDescent="0.2">
      <c r="B171" s="74" t="s">
        <v>451</v>
      </c>
      <c r="C171" s="177" t="s">
        <v>157</v>
      </c>
      <c r="D171" s="181" t="s">
        <v>434</v>
      </c>
    </row>
    <row r="172" spans="2:8" x14ac:dyDescent="0.2">
      <c r="B172" s="72" t="s">
        <v>482</v>
      </c>
      <c r="C172" s="174" t="str">
        <f>"ton CO2eq/" &amp; IF(Technology!C32="","FU",Technology!C32)</f>
        <v>ton CO2eq/FU</v>
      </c>
      <c r="D172" s="184"/>
    </row>
    <row r="173" spans="2:8" x14ac:dyDescent="0.2">
      <c r="B173" s="73" t="s">
        <v>483</v>
      </c>
      <c r="C173" s="176" t="str">
        <f>"ton CO2eq avoided/" &amp; IF(Technology!C32="","FU",Technology!C32)</f>
        <v>ton CO2eq avoided/FU</v>
      </c>
      <c r="D173" s="185"/>
    </row>
    <row r="174" spans="2:8" x14ac:dyDescent="0.2">
      <c r="B174" s="72" t="s">
        <v>484</v>
      </c>
      <c r="C174" s="187" t="str">
        <f>'1. Pathway 1'!C174</f>
        <v>ton CO2eq/FU</v>
      </c>
      <c r="D174" s="184">
        <f>D172-D173</f>
        <v>0</v>
      </c>
    </row>
    <row r="175" spans="2:8" x14ac:dyDescent="0.2">
      <c r="B175" s="73"/>
      <c r="C175" s="176" t="str">
        <f>'1. Pathway 1'!C175</f>
        <v>ton CO2eq/yr</v>
      </c>
      <c r="D175" s="185"/>
    </row>
    <row r="176" spans="2:8" ht="13.8" x14ac:dyDescent="0.3">
      <c r="B176" s="86" t="s">
        <v>198</v>
      </c>
      <c r="C176" s="224" t="str">
        <f>'1. Pathway 1'!C176</f>
        <v>ton CO2eq/FU</v>
      </c>
      <c r="D176" s="225">
        <f>D174-Technology!D15</f>
        <v>0</v>
      </c>
    </row>
    <row r="177" spans="1:4" x14ac:dyDescent="0.2">
      <c r="B177" s="73"/>
      <c r="C177" s="133" t="str">
        <f>'1. Pathway 1'!C177</f>
        <v>ton CO2eq/yr</v>
      </c>
      <c r="D177" s="226"/>
    </row>
    <row r="179" spans="1:4" x14ac:dyDescent="0.2">
      <c r="B179" s="128" t="s">
        <v>486</v>
      </c>
      <c r="C179" s="178" t="s">
        <v>157</v>
      </c>
      <c r="D179" s="182" t="s">
        <v>434</v>
      </c>
    </row>
    <row r="180" spans="1:4" x14ac:dyDescent="0.2">
      <c r="B180" s="127" t="s">
        <v>199</v>
      </c>
      <c r="C180" s="175" t="str">
        <f>'1. Pathway 1'!C180</f>
        <v>€/ton CO2eq avoided</v>
      </c>
      <c r="D180" s="186"/>
    </row>
    <row r="181" spans="1:4" ht="13.8" x14ac:dyDescent="0.3">
      <c r="B181" s="127" t="s">
        <v>488</v>
      </c>
      <c r="C181" s="175" t="str">
        <f>'1. Pathway 1'!C181</f>
        <v>MWh/ton CO2eq avoided</v>
      </c>
      <c r="D181" s="183"/>
    </row>
    <row r="183" spans="1:4" x14ac:dyDescent="0.2">
      <c r="B183" s="150"/>
    </row>
    <row r="184" spans="1:4" s="151" customFormat="1" x14ac:dyDescent="0.2">
      <c r="A184" s="1"/>
      <c r="B184" s="152" t="s">
        <v>490</v>
      </c>
      <c r="C184" s="153"/>
      <c r="D184" s="153"/>
    </row>
    <row r="195" spans="1:4" s="151" customFormat="1" x14ac:dyDescent="0.2">
      <c r="A195" s="1"/>
      <c r="B195" s="152" t="s">
        <v>491</v>
      </c>
      <c r="C195" s="153"/>
      <c r="D195" s="153"/>
    </row>
    <row r="205" spans="1:4" x14ac:dyDescent="0.2">
      <c r="B205" s="150"/>
    </row>
    <row r="207" spans="1:4" s="151" customFormat="1" x14ac:dyDescent="0.2">
      <c r="A207" s="1"/>
      <c r="B207" s="152" t="s">
        <v>492</v>
      </c>
      <c r="C207" s="153"/>
      <c r="D207" s="153"/>
    </row>
  </sheetData>
  <mergeCells count="1">
    <mergeCell ref="E78:AI78"/>
  </mergeCells>
  <dataValidations count="2">
    <dataValidation allowBlank="1" showInputMessage="1" showErrorMessage="1" prompt="The levelized cost of product is calculated by dividing the sum of all the costs over the lifetime by the sum of the product produced over the lifetime. " sqref="B140" xr:uid="{13366183-5284-4ECD-93D2-C5A5C88FE723}"/>
    <dataValidation allowBlank="1" showInputMessage="1" showErrorMessage="1" prompt="The total manufacturing cost is the sum of the total OPEX for one year." sqref="B139" xr:uid="{77660F3F-CFA9-4268-8EB8-D63CBF96DD93}"/>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8464-2156-47DC-B126-AF205E015730}">
  <sheetPr codeName="Sheet15"/>
  <dimension ref="A1:AI207"/>
  <sheetViews>
    <sheetView workbookViewId="0">
      <pane xSplit="1" topLeftCell="B1" activePane="topRight" state="frozen"/>
      <selection activeCell="E31" sqref="E31:E32"/>
      <selection pane="topRight" activeCell="E18" sqref="E18"/>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50" t="str">
        <f>'Pathway definition and results'!H13</f>
        <v xml:space="preserve">4. Pathway 4 </v>
      </c>
    </row>
    <row r="6" spans="1:10" s="14" customFormat="1" x14ac:dyDescent="0.2">
      <c r="A6" s="1"/>
      <c r="B6" s="17" t="s">
        <v>440</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20" t="s">
        <v>441</v>
      </c>
      <c r="C30" s="221"/>
      <c r="D30" s="221"/>
      <c r="E30" s="221"/>
      <c r="F30" s="221"/>
      <c r="G30" s="221"/>
      <c r="H30" s="222"/>
      <c r="I30" s="222"/>
      <c r="J30" s="223"/>
    </row>
    <row r="31" spans="2:10" x14ac:dyDescent="0.2">
      <c r="B31" s="25" t="s">
        <v>21</v>
      </c>
      <c r="C31" s="25" t="s">
        <v>156</v>
      </c>
      <c r="D31" s="26"/>
      <c r="E31" s="27" t="s">
        <v>434</v>
      </c>
      <c r="F31" s="28" t="s">
        <v>442</v>
      </c>
      <c r="G31" s="27" t="s">
        <v>434</v>
      </c>
      <c r="H31" s="28" t="str">
        <f>"Unit per " &amp; IF(Technology!$C$32="","FU",Technology!$C$32)</f>
        <v>Unit per FU</v>
      </c>
      <c r="I31" s="29" t="s">
        <v>443</v>
      </c>
      <c r="J31" s="219"/>
    </row>
    <row r="32" spans="2:10" x14ac:dyDescent="0.2">
      <c r="B32" s="30"/>
      <c r="C32" s="30"/>
      <c r="D32" s="24"/>
      <c r="E32" s="31"/>
      <c r="F32" s="32"/>
      <c r="G32" s="14"/>
      <c r="H32" s="24"/>
      <c r="I32" s="14"/>
      <c r="J32" s="218"/>
    </row>
    <row r="33" spans="2:10" x14ac:dyDescent="0.2">
      <c r="B33" s="33" t="s">
        <v>49</v>
      </c>
      <c r="C33" s="34" t="s">
        <v>166</v>
      </c>
      <c r="D33" s="23" t="s">
        <v>444</v>
      </c>
      <c r="E33" s="35"/>
      <c r="F33" s="36" t="s">
        <v>159</v>
      </c>
      <c r="H33" s="36" t="str">
        <f>"kg/" &amp; IF(Technology!$C$32="","FU",Technology!$C$32)</f>
        <v>kg/FU</v>
      </c>
      <c r="J33" s="48"/>
    </row>
    <row r="34" spans="2:10" x14ac:dyDescent="0.2">
      <c r="B34" s="30"/>
      <c r="C34" s="34"/>
      <c r="D34" s="23" t="s">
        <v>445</v>
      </c>
      <c r="E34" s="38"/>
      <c r="F34" s="36" t="s">
        <v>159</v>
      </c>
      <c r="H34" s="36" t="str">
        <f>"kg/" &amp; IF(Technology!$C$32="","FU",Technology!$C$32)</f>
        <v>kg/FU</v>
      </c>
      <c r="J34" s="48"/>
    </row>
    <row r="35" spans="2:10" x14ac:dyDescent="0.2">
      <c r="B35" s="30"/>
      <c r="C35" s="34"/>
      <c r="D35" s="23"/>
      <c r="E35" s="38"/>
      <c r="F35" s="36"/>
      <c r="H35" s="36"/>
      <c r="J35" s="48"/>
    </row>
    <row r="36" spans="2:10" x14ac:dyDescent="0.2">
      <c r="B36" s="30"/>
      <c r="C36" s="34"/>
      <c r="D36" s="23" t="s">
        <v>446</v>
      </c>
      <c r="E36" s="38"/>
      <c r="F36" s="36" t="s">
        <v>171</v>
      </c>
      <c r="H36" s="36" t="str">
        <f>"kWh/" &amp; IF(Technology!$C$32="","FU",Technology!$C$32)</f>
        <v>kWh/FU</v>
      </c>
      <c r="J36" s="48"/>
    </row>
    <row r="37" spans="2:10" x14ac:dyDescent="0.2">
      <c r="B37" s="30"/>
      <c r="C37" s="34"/>
      <c r="D37" s="23" t="s">
        <v>447</v>
      </c>
      <c r="E37" s="38"/>
      <c r="F37" s="36" t="s">
        <v>171</v>
      </c>
      <c r="H37" s="36" t="str">
        <f>"kWh/" &amp; IF(Technology!$C$32="","FU",Technology!$C$32)</f>
        <v>kWh/FU</v>
      </c>
      <c r="J37" s="48"/>
    </row>
    <row r="38" spans="2:10" x14ac:dyDescent="0.2">
      <c r="B38" s="30"/>
      <c r="C38" s="34"/>
      <c r="D38" s="23" t="s">
        <v>248</v>
      </c>
      <c r="E38" s="38"/>
      <c r="F38" s="36" t="s">
        <v>171</v>
      </c>
      <c r="H38" s="36" t="str">
        <f>"kWh/" &amp; IF(Technology!$C$32="","FU",Technology!$C$32)</f>
        <v>kWh/FU</v>
      </c>
      <c r="J38" s="48"/>
    </row>
    <row r="39" spans="2:10" x14ac:dyDescent="0.2">
      <c r="B39" s="30"/>
      <c r="C39" s="34"/>
      <c r="D39" s="23" t="s">
        <v>252</v>
      </c>
      <c r="E39" s="38"/>
      <c r="F39" s="36" t="s">
        <v>171</v>
      </c>
      <c r="H39" s="36" t="str">
        <f>"kWh/" &amp; IF(Technology!$C$32="","FU",Technology!$C$32)</f>
        <v>kWh/FU</v>
      </c>
      <c r="J39" s="48"/>
    </row>
    <row r="40" spans="2:10" x14ac:dyDescent="0.2">
      <c r="B40" s="30"/>
      <c r="C40" s="34"/>
      <c r="D40" s="23"/>
      <c r="E40" s="38"/>
      <c r="F40" s="36"/>
      <c r="H40" s="36"/>
      <c r="J40" s="48"/>
    </row>
    <row r="41" spans="2:10" x14ac:dyDescent="0.2">
      <c r="B41" s="30"/>
      <c r="C41" s="34"/>
      <c r="D41" s="23" t="s">
        <v>269</v>
      </c>
      <c r="E41" s="38"/>
      <c r="F41" s="36" t="s">
        <v>448</v>
      </c>
      <c r="H41" s="36" t="str">
        <f>"m²/" &amp; IF(Technology!$C$32="","FU",Technology!$C$32)</f>
        <v>m²/FU</v>
      </c>
      <c r="J41" s="48"/>
    </row>
    <row r="42" spans="2:10" x14ac:dyDescent="0.2">
      <c r="B42" s="30"/>
      <c r="C42" s="34"/>
      <c r="D42" s="23" t="s">
        <v>449</v>
      </c>
      <c r="E42" s="38"/>
      <c r="F42" s="36" t="s">
        <v>267</v>
      </c>
      <c r="H42" s="36" t="s">
        <v>267</v>
      </c>
      <c r="J42" s="48"/>
    </row>
    <row r="43" spans="2:10" x14ac:dyDescent="0.2">
      <c r="B43" s="30"/>
      <c r="C43" s="34"/>
      <c r="D43" s="23"/>
      <c r="E43" s="38"/>
      <c r="F43" s="36"/>
      <c r="H43" s="36"/>
      <c r="J43" s="48"/>
    </row>
    <row r="44" spans="2:10" x14ac:dyDescent="0.2">
      <c r="B44" s="30"/>
      <c r="C44" s="34" t="s">
        <v>173</v>
      </c>
      <c r="D44" s="23" t="s">
        <v>450</v>
      </c>
      <c r="E44" s="38"/>
      <c r="F44" s="36" t="s">
        <v>159</v>
      </c>
      <c r="H44" s="36" t="str">
        <f>"kg/" &amp; IF(Technology!$C$32="","FU",Technology!$C$32)</f>
        <v>kg/FU</v>
      </c>
      <c r="J44" s="48"/>
    </row>
    <row r="45" spans="2:10" x14ac:dyDescent="0.2">
      <c r="B45" s="30"/>
      <c r="C45" s="34"/>
      <c r="D45" s="23" t="s">
        <v>445</v>
      </c>
      <c r="E45" s="38"/>
      <c r="F45" s="36" t="s">
        <v>159</v>
      </c>
      <c r="H45" s="36" t="str">
        <f>"kg/" &amp; IF(Technology!$C$32="","FU",Technology!$C$32)</f>
        <v>kg/FU</v>
      </c>
      <c r="J45" s="48"/>
    </row>
    <row r="46" spans="2:10" x14ac:dyDescent="0.2">
      <c r="B46" s="30"/>
      <c r="C46" s="34"/>
      <c r="D46" s="23" t="s">
        <v>226</v>
      </c>
      <c r="E46" s="38"/>
      <c r="F46" s="36" t="s">
        <v>159</v>
      </c>
      <c r="H46" s="36" t="str">
        <f>"kg/" &amp; IF(Technology!$C$32="","FU",Technology!$C$32)</f>
        <v>kg/FU</v>
      </c>
      <c r="J46" s="48"/>
    </row>
    <row r="47" spans="2:10" x14ac:dyDescent="0.2">
      <c r="B47" s="30"/>
      <c r="C47" s="34"/>
      <c r="D47" s="23" t="s">
        <v>227</v>
      </c>
      <c r="E47" s="38"/>
      <c r="F47" s="36" t="s">
        <v>159</v>
      </c>
      <c r="H47" s="36" t="str">
        <f>"kg/" &amp; IF(Technology!$C$32="","FU",Technology!$C$32)</f>
        <v>kg/FU</v>
      </c>
      <c r="J47" s="48"/>
    </row>
    <row r="48" spans="2:10" x14ac:dyDescent="0.2">
      <c r="B48" s="30"/>
      <c r="C48" s="39"/>
      <c r="D48" s="23"/>
      <c r="E48" s="38"/>
      <c r="F48" s="36"/>
      <c r="H48" s="36"/>
      <c r="J48" s="48"/>
    </row>
    <row r="49" spans="2:10" x14ac:dyDescent="0.2">
      <c r="B49" s="30"/>
      <c r="C49" s="30"/>
      <c r="D49" s="40"/>
      <c r="E49" s="41"/>
      <c r="F49" s="42"/>
      <c r="G49" s="14"/>
      <c r="H49" s="42"/>
      <c r="I49" s="14"/>
      <c r="J49" s="218"/>
    </row>
    <row r="50" spans="2:10" x14ac:dyDescent="0.2">
      <c r="B50" s="33" t="s">
        <v>49</v>
      </c>
      <c r="C50" s="34" t="s">
        <v>166</v>
      </c>
      <c r="D50" s="23" t="s">
        <v>444</v>
      </c>
      <c r="E50" s="35"/>
      <c r="F50" s="36" t="s">
        <v>159</v>
      </c>
      <c r="H50" s="36" t="str">
        <f>"kg/" &amp; IF(Technology!$C$32="","FU",Technology!$C$32)</f>
        <v>kg/FU</v>
      </c>
      <c r="J50" s="48"/>
    </row>
    <row r="51" spans="2:10" x14ac:dyDescent="0.2">
      <c r="B51" s="33"/>
      <c r="C51" s="34"/>
      <c r="D51" s="23" t="s">
        <v>445</v>
      </c>
      <c r="E51" s="38"/>
      <c r="F51" s="36" t="s">
        <v>159</v>
      </c>
      <c r="H51" s="36" t="str">
        <f>"kg/" &amp; IF(Technology!$C$32="","FU",Technology!$C$32)</f>
        <v>kg/FU</v>
      </c>
      <c r="J51" s="48"/>
    </row>
    <row r="52" spans="2:10" x14ac:dyDescent="0.2">
      <c r="B52" s="33"/>
      <c r="C52" s="34"/>
      <c r="D52" s="23"/>
      <c r="E52" s="38"/>
      <c r="F52" s="36"/>
      <c r="H52" s="36"/>
      <c r="J52" s="48"/>
    </row>
    <row r="53" spans="2:10" x14ac:dyDescent="0.2">
      <c r="B53" s="33"/>
      <c r="C53" s="34"/>
      <c r="D53" s="23" t="s">
        <v>446</v>
      </c>
      <c r="E53" s="38"/>
      <c r="F53" s="36" t="s">
        <v>171</v>
      </c>
      <c r="H53" s="36" t="str">
        <f>"kWh/" &amp; IF(Technology!$C$32="","FU",Technology!$C$32)</f>
        <v>kWh/FU</v>
      </c>
      <c r="J53" s="48"/>
    </row>
    <row r="54" spans="2:10" x14ac:dyDescent="0.2">
      <c r="B54" s="33"/>
      <c r="C54" s="34"/>
      <c r="D54" s="23" t="s">
        <v>447</v>
      </c>
      <c r="E54" s="38"/>
      <c r="F54" s="36" t="s">
        <v>171</v>
      </c>
      <c r="H54" s="36" t="str">
        <f>"kWh/" &amp; IF(Technology!$C$32="","FU",Technology!$C$32)</f>
        <v>kWh/FU</v>
      </c>
      <c r="J54" s="48"/>
    </row>
    <row r="55" spans="2:10" x14ac:dyDescent="0.2">
      <c r="B55" s="33"/>
      <c r="C55" s="34"/>
      <c r="D55" s="23" t="s">
        <v>248</v>
      </c>
      <c r="E55" s="38"/>
      <c r="F55" s="36" t="s">
        <v>171</v>
      </c>
      <c r="H55" s="36" t="str">
        <f>"kWh/" &amp; IF(Technology!$C$32="","FU",Technology!$C$32)</f>
        <v>kWh/FU</v>
      </c>
      <c r="J55" s="48"/>
    </row>
    <row r="56" spans="2:10" x14ac:dyDescent="0.2">
      <c r="B56" s="33"/>
      <c r="C56" s="34"/>
      <c r="D56" s="23" t="s">
        <v>252</v>
      </c>
      <c r="E56" s="38"/>
      <c r="F56" s="36" t="s">
        <v>171</v>
      </c>
      <c r="H56" s="36" t="str">
        <f>"kWh/" &amp; IF(Technology!$C$32="","FU",Technology!$C$32)</f>
        <v>kWh/FU</v>
      </c>
      <c r="J56" s="48"/>
    </row>
    <row r="57" spans="2:10" x14ac:dyDescent="0.2">
      <c r="B57" s="33"/>
      <c r="F57" s="36"/>
      <c r="H57" s="36"/>
      <c r="J57" s="48"/>
    </row>
    <row r="58" spans="2:10" x14ac:dyDescent="0.2">
      <c r="B58" s="33"/>
      <c r="C58" s="34"/>
      <c r="D58" s="23" t="s">
        <v>269</v>
      </c>
      <c r="E58" s="38"/>
      <c r="F58" s="36" t="s">
        <v>448</v>
      </c>
      <c r="H58" s="36" t="str">
        <f>"m²/" &amp; IF(Technology!$C$32="","FU",Technology!$C$32)</f>
        <v>m²/FU</v>
      </c>
      <c r="J58" s="48"/>
    </row>
    <row r="59" spans="2:10" x14ac:dyDescent="0.2">
      <c r="B59" s="33"/>
      <c r="C59" s="34"/>
      <c r="D59" s="23" t="s">
        <v>449</v>
      </c>
      <c r="E59" s="38"/>
      <c r="F59" s="36" t="s">
        <v>267</v>
      </c>
      <c r="H59" s="36" t="s">
        <v>267</v>
      </c>
      <c r="J59" s="48"/>
    </row>
    <row r="60" spans="2:10" x14ac:dyDescent="0.2">
      <c r="B60" s="33"/>
      <c r="C60" s="34"/>
      <c r="D60" s="23"/>
      <c r="E60" s="38"/>
      <c r="F60" s="36"/>
      <c r="H60" s="36"/>
      <c r="J60" s="48"/>
    </row>
    <row r="61" spans="2:10" x14ac:dyDescent="0.2">
      <c r="B61" s="30"/>
      <c r="C61" s="34" t="s">
        <v>173</v>
      </c>
      <c r="D61" s="23" t="s">
        <v>450</v>
      </c>
      <c r="E61" s="38"/>
      <c r="F61" s="36" t="s">
        <v>159</v>
      </c>
      <c r="H61" s="36" t="str">
        <f>"kg/" &amp; IF(Technology!$C$32="","FU",Technology!$C$32)</f>
        <v>kg/FU</v>
      </c>
      <c r="J61" s="48"/>
    </row>
    <row r="62" spans="2:10" x14ac:dyDescent="0.2">
      <c r="B62" s="30"/>
      <c r="C62" s="39"/>
      <c r="D62" s="23" t="s">
        <v>445</v>
      </c>
      <c r="E62" s="38"/>
      <c r="F62" s="36" t="s">
        <v>159</v>
      </c>
      <c r="H62" s="36" t="str">
        <f>"kg/" &amp; IF(Technology!$C$32="","FU",Technology!$C$32)</f>
        <v>kg/FU</v>
      </c>
      <c r="J62" s="48"/>
    </row>
    <row r="63" spans="2:10" x14ac:dyDescent="0.2">
      <c r="B63" s="30"/>
      <c r="C63" s="39"/>
      <c r="D63" s="23" t="s">
        <v>226</v>
      </c>
      <c r="E63" s="38"/>
      <c r="F63" s="36" t="s">
        <v>159</v>
      </c>
      <c r="H63" s="36" t="str">
        <f>"kg/" &amp; IF(Technology!$C$32="","FU",Technology!$C$32)</f>
        <v>kg/FU</v>
      </c>
      <c r="J63" s="48"/>
    </row>
    <row r="64" spans="2:10" x14ac:dyDescent="0.2">
      <c r="B64" s="30"/>
      <c r="C64" s="39"/>
      <c r="D64" s="23" t="s">
        <v>227</v>
      </c>
      <c r="E64" s="38"/>
      <c r="F64" s="36" t="s">
        <v>159</v>
      </c>
      <c r="H64" s="36" t="str">
        <f>"kg/" &amp; IF(Technology!$C$32="","FU",Technology!$C$32)</f>
        <v>kg/FU</v>
      </c>
      <c r="J64" s="48"/>
    </row>
    <row r="65" spans="2:35" x14ac:dyDescent="0.2">
      <c r="B65" s="30"/>
      <c r="C65" s="39"/>
      <c r="D65" s="23"/>
      <c r="E65" s="38"/>
      <c r="F65" s="36"/>
      <c r="H65" s="36"/>
      <c r="J65" s="48"/>
    </row>
    <row r="66" spans="2:35" x14ac:dyDescent="0.2">
      <c r="B66" s="24"/>
      <c r="C66" s="43"/>
      <c r="D66" s="23"/>
      <c r="E66" s="37"/>
      <c r="F66" s="36"/>
      <c r="G66" s="36"/>
      <c r="J66" s="48"/>
    </row>
    <row r="67" spans="2:35" x14ac:dyDescent="0.2">
      <c r="B67" s="25"/>
      <c r="C67" s="214"/>
      <c r="D67" s="215"/>
      <c r="E67" s="216"/>
      <c r="F67" s="217"/>
      <c r="G67" s="217"/>
      <c r="H67" s="7"/>
      <c r="I67" s="7"/>
      <c r="J67" s="49"/>
    </row>
    <row r="69" spans="2:35" x14ac:dyDescent="0.2">
      <c r="B69" s="130" t="s">
        <v>451</v>
      </c>
      <c r="C69" s="169" t="s">
        <v>157</v>
      </c>
      <c r="D69" s="180" t="s">
        <v>434</v>
      </c>
    </row>
    <row r="70" spans="2:35" x14ac:dyDescent="0.2">
      <c r="B70" s="71" t="s">
        <v>176</v>
      </c>
      <c r="C70" s="2" t="s">
        <v>177</v>
      </c>
      <c r="D70" s="280"/>
    </row>
    <row r="71" spans="2:35" x14ac:dyDescent="0.2">
      <c r="B71" s="18" t="s">
        <v>178</v>
      </c>
      <c r="C71" s="2" t="s">
        <v>177</v>
      </c>
      <c r="D71" s="281"/>
    </row>
    <row r="72" spans="2:35" x14ac:dyDescent="0.2">
      <c r="B72" s="18" t="s">
        <v>179</v>
      </c>
      <c r="C72" s="2" t="s">
        <v>177</v>
      </c>
      <c r="D72" s="281"/>
    </row>
    <row r="73" spans="2:35" x14ac:dyDescent="0.2">
      <c r="B73" s="18" t="s">
        <v>180</v>
      </c>
      <c r="C73" s="2" t="s">
        <v>177</v>
      </c>
      <c r="D73" s="281"/>
    </row>
    <row r="74" spans="2:35" x14ac:dyDescent="0.2">
      <c r="B74" s="18" t="s">
        <v>181</v>
      </c>
      <c r="C74" s="2" t="s">
        <v>177</v>
      </c>
      <c r="D74" s="281"/>
    </row>
    <row r="75" spans="2:35" x14ac:dyDescent="0.2">
      <c r="B75" s="129" t="s">
        <v>182</v>
      </c>
      <c r="C75" s="133" t="s">
        <v>177</v>
      </c>
      <c r="D75" s="282"/>
    </row>
    <row r="78" spans="2:35" x14ac:dyDescent="0.2">
      <c r="B78" s="44" t="s">
        <v>452</v>
      </c>
      <c r="C78" s="45"/>
      <c r="D78" s="45"/>
      <c r="E78" s="431" t="s">
        <v>453</v>
      </c>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row>
    <row r="79" spans="2:35" x14ac:dyDescent="0.2">
      <c r="B79" s="46" t="s">
        <v>454</v>
      </c>
      <c r="C79" s="46" t="s">
        <v>21</v>
      </c>
      <c r="D79" s="46" t="s">
        <v>156</v>
      </c>
      <c r="E79" s="46">
        <v>0</v>
      </c>
      <c r="F79" s="46">
        <v>1</v>
      </c>
      <c r="G79" s="46">
        <v>2</v>
      </c>
      <c r="H79" s="46">
        <v>3</v>
      </c>
      <c r="I79" s="46">
        <v>4</v>
      </c>
      <c r="J79" s="46">
        <v>5</v>
      </c>
      <c r="K79" s="46">
        <v>6</v>
      </c>
      <c r="L79" s="46">
        <v>7</v>
      </c>
      <c r="M79" s="46">
        <v>8</v>
      </c>
      <c r="N79" s="46">
        <v>9</v>
      </c>
      <c r="O79" s="46">
        <v>10</v>
      </c>
      <c r="P79" s="46">
        <v>11</v>
      </c>
      <c r="Q79" s="46">
        <v>12</v>
      </c>
      <c r="R79" s="46">
        <v>13</v>
      </c>
      <c r="S79" s="46">
        <v>14</v>
      </c>
      <c r="T79" s="46">
        <v>15</v>
      </c>
      <c r="U79" s="46">
        <v>16</v>
      </c>
      <c r="V79" s="46">
        <v>17</v>
      </c>
      <c r="W79" s="46">
        <v>18</v>
      </c>
      <c r="X79" s="46">
        <v>19</v>
      </c>
      <c r="Y79" s="46">
        <v>20</v>
      </c>
      <c r="Z79" s="46">
        <v>21</v>
      </c>
      <c r="AA79" s="46">
        <v>22</v>
      </c>
      <c r="AB79" s="46">
        <v>23</v>
      </c>
      <c r="AC79" s="46">
        <v>24</v>
      </c>
      <c r="AD79" s="46">
        <v>25</v>
      </c>
      <c r="AE79" s="46">
        <v>26</v>
      </c>
      <c r="AF79" s="46">
        <v>27</v>
      </c>
      <c r="AG79" s="46">
        <v>28</v>
      </c>
      <c r="AH79" s="46">
        <v>29</v>
      </c>
      <c r="AI79" s="200">
        <v>30</v>
      </c>
    </row>
    <row r="80" spans="2:35" s="6" customFormat="1" x14ac:dyDescent="0.2">
      <c r="B80" s="8" t="s">
        <v>455</v>
      </c>
      <c r="C80" s="8"/>
      <c r="D80" s="8"/>
      <c r="E80" s="201">
        <f t="shared" ref="E80:AI80" si="0">SUM(E81:E85)</f>
        <v>0</v>
      </c>
      <c r="F80" s="201">
        <f t="shared" si="0"/>
        <v>0</v>
      </c>
      <c r="G80" s="201">
        <f t="shared" si="0"/>
        <v>0</v>
      </c>
      <c r="H80" s="201">
        <f t="shared" si="0"/>
        <v>0</v>
      </c>
      <c r="I80" s="201">
        <f t="shared" si="0"/>
        <v>0</v>
      </c>
      <c r="J80" s="201">
        <f t="shared" si="0"/>
        <v>0</v>
      </c>
      <c r="K80" s="201">
        <f t="shared" si="0"/>
        <v>0</v>
      </c>
      <c r="L80" s="201">
        <f t="shared" si="0"/>
        <v>0</v>
      </c>
      <c r="M80" s="201">
        <f t="shared" si="0"/>
        <v>0</v>
      </c>
      <c r="N80" s="201">
        <f t="shared" si="0"/>
        <v>0</v>
      </c>
      <c r="O80" s="201">
        <f t="shared" si="0"/>
        <v>0</v>
      </c>
      <c r="P80" s="201">
        <f t="shared" si="0"/>
        <v>0</v>
      </c>
      <c r="Q80" s="201">
        <f t="shared" si="0"/>
        <v>0</v>
      </c>
      <c r="R80" s="201">
        <f t="shared" si="0"/>
        <v>0</v>
      </c>
      <c r="S80" s="201">
        <f t="shared" si="0"/>
        <v>0</v>
      </c>
      <c r="T80" s="201">
        <f t="shared" si="0"/>
        <v>0</v>
      </c>
      <c r="U80" s="201">
        <f t="shared" si="0"/>
        <v>0</v>
      </c>
      <c r="V80" s="201">
        <f t="shared" si="0"/>
        <v>0</v>
      </c>
      <c r="W80" s="201">
        <f t="shared" si="0"/>
        <v>0</v>
      </c>
      <c r="X80" s="201">
        <f t="shared" si="0"/>
        <v>0</v>
      </c>
      <c r="Y80" s="201">
        <f t="shared" si="0"/>
        <v>0</v>
      </c>
      <c r="Z80" s="201">
        <f t="shared" si="0"/>
        <v>0</v>
      </c>
      <c r="AA80" s="201">
        <f t="shared" si="0"/>
        <v>0</v>
      </c>
      <c r="AB80" s="201">
        <f t="shared" si="0"/>
        <v>0</v>
      </c>
      <c r="AC80" s="201">
        <f t="shared" si="0"/>
        <v>0</v>
      </c>
      <c r="AD80" s="201">
        <f t="shared" si="0"/>
        <v>0</v>
      </c>
      <c r="AE80" s="201">
        <f t="shared" si="0"/>
        <v>0</v>
      </c>
      <c r="AF80" s="201">
        <f t="shared" si="0"/>
        <v>0</v>
      </c>
      <c r="AG80" s="201">
        <f t="shared" si="0"/>
        <v>0</v>
      </c>
      <c r="AH80" s="201">
        <f t="shared" si="0"/>
        <v>0</v>
      </c>
      <c r="AI80" s="202">
        <f t="shared" si="0"/>
        <v>0</v>
      </c>
    </row>
    <row r="81" spans="2:35" x14ac:dyDescent="0.2">
      <c r="B81" s="9"/>
      <c r="C81" s="21" t="s">
        <v>49</v>
      </c>
      <c r="D81" s="1" t="s">
        <v>455</v>
      </c>
      <c r="E81" s="203"/>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5"/>
    </row>
    <row r="82" spans="2:35" x14ac:dyDescent="0.2">
      <c r="B82" s="9"/>
      <c r="C82" s="21"/>
      <c r="D82" s="1" t="s">
        <v>456</v>
      </c>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6"/>
    </row>
    <row r="83" spans="2:35" x14ac:dyDescent="0.2">
      <c r="B83" s="9"/>
      <c r="C83" s="21" t="s">
        <v>49</v>
      </c>
      <c r="D83" s="1" t="s">
        <v>455</v>
      </c>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5"/>
    </row>
    <row r="84" spans="2:35" x14ac:dyDescent="0.2">
      <c r="B84" s="9"/>
      <c r="C84" s="21"/>
      <c r="D84" s="1" t="s">
        <v>456</v>
      </c>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6"/>
    </row>
    <row r="85" spans="2:35" x14ac:dyDescent="0.2">
      <c r="B85" s="9"/>
      <c r="C85" s="21"/>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6"/>
    </row>
    <row r="86" spans="2:35" s="6" customFormat="1" x14ac:dyDescent="0.2">
      <c r="B86" s="8" t="s">
        <v>457</v>
      </c>
      <c r="C86" s="90"/>
      <c r="D86" s="8"/>
      <c r="E86" s="201"/>
      <c r="F86" s="201">
        <f t="shared" ref="F86:AI86" si="1">SUM(F87:F107)</f>
        <v>0</v>
      </c>
      <c r="G86" s="201">
        <f t="shared" si="1"/>
        <v>0</v>
      </c>
      <c r="H86" s="201">
        <f t="shared" si="1"/>
        <v>0</v>
      </c>
      <c r="I86" s="201">
        <f t="shared" si="1"/>
        <v>0</v>
      </c>
      <c r="J86" s="201">
        <f t="shared" si="1"/>
        <v>0</v>
      </c>
      <c r="K86" s="201">
        <f t="shared" si="1"/>
        <v>0</v>
      </c>
      <c r="L86" s="201">
        <f t="shared" si="1"/>
        <v>0</v>
      </c>
      <c r="M86" s="201">
        <f t="shared" si="1"/>
        <v>0</v>
      </c>
      <c r="N86" s="201">
        <f t="shared" si="1"/>
        <v>0</v>
      </c>
      <c r="O86" s="201">
        <f t="shared" si="1"/>
        <v>0</v>
      </c>
      <c r="P86" s="201">
        <f t="shared" si="1"/>
        <v>0</v>
      </c>
      <c r="Q86" s="201">
        <f t="shared" si="1"/>
        <v>0</v>
      </c>
      <c r="R86" s="201">
        <f t="shared" si="1"/>
        <v>0</v>
      </c>
      <c r="S86" s="201">
        <f t="shared" si="1"/>
        <v>0</v>
      </c>
      <c r="T86" s="201">
        <f t="shared" si="1"/>
        <v>0</v>
      </c>
      <c r="U86" s="201">
        <f t="shared" si="1"/>
        <v>0</v>
      </c>
      <c r="V86" s="201">
        <f t="shared" si="1"/>
        <v>0</v>
      </c>
      <c r="W86" s="201">
        <f t="shared" si="1"/>
        <v>0</v>
      </c>
      <c r="X86" s="201">
        <f t="shared" si="1"/>
        <v>0</v>
      </c>
      <c r="Y86" s="201">
        <f t="shared" si="1"/>
        <v>0</v>
      </c>
      <c r="Z86" s="201">
        <f t="shared" si="1"/>
        <v>0</v>
      </c>
      <c r="AA86" s="201">
        <f t="shared" si="1"/>
        <v>0</v>
      </c>
      <c r="AB86" s="201">
        <f t="shared" si="1"/>
        <v>0</v>
      </c>
      <c r="AC86" s="201">
        <f t="shared" si="1"/>
        <v>0</v>
      </c>
      <c r="AD86" s="201">
        <f t="shared" si="1"/>
        <v>0</v>
      </c>
      <c r="AE86" s="201">
        <f t="shared" si="1"/>
        <v>0</v>
      </c>
      <c r="AF86" s="201">
        <f t="shared" si="1"/>
        <v>0</v>
      </c>
      <c r="AG86" s="201">
        <f t="shared" si="1"/>
        <v>0</v>
      </c>
      <c r="AH86" s="201">
        <f t="shared" si="1"/>
        <v>0</v>
      </c>
      <c r="AI86" s="202">
        <f t="shared" si="1"/>
        <v>0</v>
      </c>
    </row>
    <row r="87" spans="2:35" x14ac:dyDescent="0.2">
      <c r="B87" s="9"/>
      <c r="C87" s="21" t="s">
        <v>367</v>
      </c>
      <c r="D87" s="1" t="s">
        <v>458</v>
      </c>
      <c r="E87" s="203"/>
      <c r="F87" s="203">
        <f>IF(F79&gt;e_ecolifetime_yr,0,$E$80*'Data - economic'!$I$41)</f>
        <v>0</v>
      </c>
      <c r="G87" s="203">
        <f>IF(G79&gt;e_ecolifetime_yr,0,$E$80*'Data - economic'!$I$41)</f>
        <v>0</v>
      </c>
      <c r="H87" s="203">
        <f>IF(H79&gt;e_ecolifetime_yr,0,$E$80*'Data - economic'!$I$41)</f>
        <v>0</v>
      </c>
      <c r="I87" s="203">
        <f>IF(I79&gt;e_ecolifetime_yr,0,$E$80*'Data - economic'!$I$41)</f>
        <v>0</v>
      </c>
      <c r="J87" s="203">
        <f>IF(J79&gt;e_ecolifetime_yr,0,$E$80*'Data - economic'!$I$41)</f>
        <v>0</v>
      </c>
      <c r="K87" s="203">
        <f>IF(K79&gt;e_ecolifetime_yr,0,$E$80*'Data - economic'!$I$41)</f>
        <v>0</v>
      </c>
      <c r="L87" s="203">
        <f>IF(L79&gt;e_ecolifetime_yr,0,$E$80*'Data - economic'!$I$41)</f>
        <v>0</v>
      </c>
      <c r="M87" s="203">
        <f>IF(M79&gt;e_ecolifetime_yr,0,$E$80*'Data - economic'!$I$41)</f>
        <v>0</v>
      </c>
      <c r="N87" s="203">
        <f>IF(N79&gt;e_ecolifetime_yr,0,$E$80*'Data - economic'!$I$41)</f>
        <v>0</v>
      </c>
      <c r="O87" s="203">
        <f>IF(O79&gt;e_ecolifetime_yr,0,$E$80*'Data - economic'!$I$41)</f>
        <v>0</v>
      </c>
      <c r="P87" s="203">
        <f>IF(P79&gt;e_ecolifetime_yr,0,$E$80*'Data - economic'!$I$41)</f>
        <v>0</v>
      </c>
      <c r="Q87" s="203">
        <f>IF(Q79&gt;e_ecolifetime_yr,0,$E$80*'Data - economic'!$I$41)</f>
        <v>0</v>
      </c>
      <c r="R87" s="203">
        <f>IF(R79&gt;e_ecolifetime_yr,0,$E$80*'Data - economic'!$I$41)</f>
        <v>0</v>
      </c>
      <c r="S87" s="203">
        <f>IF(S79&gt;e_ecolifetime_yr,0,$E$80*'Data - economic'!$I$41)</f>
        <v>0</v>
      </c>
      <c r="T87" s="203">
        <f>IF(T79&gt;e_ecolifetime_yr,0,$E$80*'Data - economic'!$I$41)</f>
        <v>0</v>
      </c>
      <c r="U87" s="203">
        <f>IF(U79&gt;e_ecolifetime_yr,0,$E$80*'Data - economic'!$I$41)</f>
        <v>0</v>
      </c>
      <c r="V87" s="203">
        <f>IF(V79&gt;e_ecolifetime_yr,0,$E$80*'Data - economic'!$I$41)</f>
        <v>0</v>
      </c>
      <c r="W87" s="203">
        <f>IF(W79&gt;e_ecolifetime_yr,0,$E$80*'Data - economic'!$I$41)</f>
        <v>0</v>
      </c>
      <c r="X87" s="203">
        <f>IF(X79&gt;e_ecolifetime_yr,0,$E$80*'Data - economic'!$I$41)</f>
        <v>0</v>
      </c>
      <c r="Y87" s="203">
        <f>IF(Y79&gt;e_ecolifetime_yr,0,$E$80*'Data - economic'!$I$41)</f>
        <v>0</v>
      </c>
      <c r="Z87" s="203">
        <f>IF(Z79&gt;e_ecolifetime_yr,0,$E$80*'Data - economic'!$I$41)</f>
        <v>0</v>
      </c>
      <c r="AA87" s="203">
        <f>IF(AA79&gt;e_ecolifetime_yr,0,$E$80*'Data - economic'!$I$41)</f>
        <v>0</v>
      </c>
      <c r="AB87" s="203">
        <f>IF(AB79&gt;e_ecolifetime_yr,0,$E$80*'Data - economic'!$I$41)</f>
        <v>0</v>
      </c>
      <c r="AC87" s="203">
        <f>IF(AC79&gt;e_ecolifetime_yr,0,$E$80*'Data - economic'!$I$41)</f>
        <v>0</v>
      </c>
      <c r="AD87" s="203">
        <f>IF(AD79&gt;e_ecolifetime_yr,0,$E$80*'Data - economic'!$I$41)</f>
        <v>0</v>
      </c>
      <c r="AE87" s="203">
        <f>IF(AE79&gt;e_ecolifetime_yr,0,$E$80*'Data - economic'!$I$41)</f>
        <v>0</v>
      </c>
      <c r="AF87" s="203">
        <f>IF(AF79&gt;e_ecolifetime_yr,0,$E$80*'Data - economic'!$I$41)</f>
        <v>0</v>
      </c>
      <c r="AG87" s="203">
        <f>IF(AG79&gt;e_ecolifetime_yr,0,$E$80*'Data - economic'!$I$41)</f>
        <v>0</v>
      </c>
      <c r="AH87" s="203">
        <f>IF(AH79&gt;e_ecolifetime_yr,0,$E$80*'Data - economic'!$I$41)</f>
        <v>0</v>
      </c>
      <c r="AI87" s="206">
        <f>IF(AI79&gt;e_ecolifetime_yr,0,$E$80*'Data - economic'!$I$41)</f>
        <v>0</v>
      </c>
    </row>
    <row r="88" spans="2:35" x14ac:dyDescent="0.2">
      <c r="B88" s="9"/>
      <c r="C88" s="21"/>
      <c r="D88" s="1" t="s">
        <v>459</v>
      </c>
      <c r="E88" s="203"/>
      <c r="F88" s="203">
        <f>IF(F79&gt;e_ecolifetime_yr,0,$E$80*'Data - economic'!$I$42)</f>
        <v>0</v>
      </c>
      <c r="G88" s="203">
        <f>IF(G79&gt;e_ecolifetime_yr,0,$E$80*'Data - economic'!$I$42)</f>
        <v>0</v>
      </c>
      <c r="H88" s="203">
        <f>IF(H79&gt;e_ecolifetime_yr,0,$E$80*'Data - economic'!$I$42)</f>
        <v>0</v>
      </c>
      <c r="I88" s="203">
        <f>IF(I79&gt;e_ecolifetime_yr,0,$E$80*'Data - economic'!$I$42)</f>
        <v>0</v>
      </c>
      <c r="J88" s="203">
        <f>IF(J79&gt;e_ecolifetime_yr,0,$E$80*'Data - economic'!$I$42)</f>
        <v>0</v>
      </c>
      <c r="K88" s="203">
        <f>IF(K79&gt;e_ecolifetime_yr,0,$E$80*'Data - economic'!$I$42)</f>
        <v>0</v>
      </c>
      <c r="L88" s="203">
        <f>IF(L79&gt;e_ecolifetime_yr,0,$E$80*'Data - economic'!$I$42)</f>
        <v>0</v>
      </c>
      <c r="M88" s="203">
        <f>IF(M79&gt;e_ecolifetime_yr,0,$E$80*'Data - economic'!$I$42)</f>
        <v>0</v>
      </c>
      <c r="N88" s="203">
        <f>IF(N79&gt;e_ecolifetime_yr,0,$E$80*'Data - economic'!$I$42)</f>
        <v>0</v>
      </c>
      <c r="O88" s="203">
        <f>IF(O79&gt;e_ecolifetime_yr,0,$E$80*'Data - economic'!$I$42)</f>
        <v>0</v>
      </c>
      <c r="P88" s="203">
        <f>IF(P79&gt;e_ecolifetime_yr,0,$E$80*'Data - economic'!$I$42)</f>
        <v>0</v>
      </c>
      <c r="Q88" s="203">
        <f>IF(Q79&gt;e_ecolifetime_yr,0,$E$80*'Data - economic'!$I$42)</f>
        <v>0</v>
      </c>
      <c r="R88" s="203">
        <f>IF(R79&gt;e_ecolifetime_yr,0,$E$80*'Data - economic'!$I$42)</f>
        <v>0</v>
      </c>
      <c r="S88" s="203">
        <f>IF(S79&gt;e_ecolifetime_yr,0,$E$80*'Data - economic'!$I$42)</f>
        <v>0</v>
      </c>
      <c r="T88" s="203">
        <f>IF(T79&gt;e_ecolifetime_yr,0,$E$80*'Data - economic'!$I$42)</f>
        <v>0</v>
      </c>
      <c r="U88" s="203">
        <f>IF(U79&gt;e_ecolifetime_yr,0,$E$80*'Data - economic'!$I$42)</f>
        <v>0</v>
      </c>
      <c r="V88" s="203">
        <f>IF(V79&gt;e_ecolifetime_yr,0,$E$80*'Data - economic'!$I$42)</f>
        <v>0</v>
      </c>
      <c r="W88" s="203">
        <f>IF(W79&gt;e_ecolifetime_yr,0,$E$80*'Data - economic'!$I$42)</f>
        <v>0</v>
      </c>
      <c r="X88" s="203">
        <f>IF(X79&gt;e_ecolifetime_yr,0,$E$80*'Data - economic'!$I$42)</f>
        <v>0</v>
      </c>
      <c r="Y88" s="203">
        <f>IF(Y79&gt;e_ecolifetime_yr,0,$E$80*'Data - economic'!$I$42)</f>
        <v>0</v>
      </c>
      <c r="Z88" s="203">
        <f>IF(Z79&gt;e_ecolifetime_yr,0,$E$80*'Data - economic'!$I$42)</f>
        <v>0</v>
      </c>
      <c r="AA88" s="203">
        <f>IF(AA79&gt;e_ecolifetime_yr,0,$E$80*'Data - economic'!$I$42)</f>
        <v>0</v>
      </c>
      <c r="AB88" s="203">
        <f>IF(AB79&gt;e_ecolifetime_yr,0,$E$80*'Data - economic'!$I$42)</f>
        <v>0</v>
      </c>
      <c r="AC88" s="203">
        <f>IF(AC79&gt;e_ecolifetime_yr,0,$E$80*'Data - economic'!$I$42)</f>
        <v>0</v>
      </c>
      <c r="AD88" s="203">
        <f>IF(AD79&gt;e_ecolifetime_yr,0,$E$80*'Data - economic'!$I$42)</f>
        <v>0</v>
      </c>
      <c r="AE88" s="203">
        <f>IF(AE79&gt;e_ecolifetime_yr,0,$E$80*'Data - economic'!$I$42)</f>
        <v>0</v>
      </c>
      <c r="AF88" s="203">
        <f>IF(AF79&gt;e_ecolifetime_yr,0,$E$80*'Data - economic'!$I$42)</f>
        <v>0</v>
      </c>
      <c r="AG88" s="203">
        <f>IF(AG79&gt;e_ecolifetime_yr,0,$E$80*'Data - economic'!$I$42)</f>
        <v>0</v>
      </c>
      <c r="AH88" s="203">
        <f>IF(AH79&gt;e_ecolifetime_yr,0,$E$80*'Data - economic'!$I$42)</f>
        <v>0</v>
      </c>
      <c r="AI88" s="206">
        <f>IF(AI79&gt;e_ecolifetime_yr,0,$E$80*'Data - economic'!$I$42)</f>
        <v>0</v>
      </c>
    </row>
    <row r="89" spans="2:35" x14ac:dyDescent="0.2">
      <c r="B89" s="9"/>
      <c r="C89" s="21"/>
      <c r="D89" s="1" t="s">
        <v>460</v>
      </c>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6"/>
    </row>
    <row r="90" spans="2:35" x14ac:dyDescent="0.2">
      <c r="B90" s="9"/>
      <c r="C90" s="21"/>
      <c r="D90" s="1" t="s">
        <v>461</v>
      </c>
      <c r="E90" s="203"/>
      <c r="F90" s="203">
        <f>IF(F79&gt;e_ecolifetime_yr,0,('4. Pathway 4'!$F$89+'4. Pathway 4'!$F$88)*'Data - economic'!$I$43)</f>
        <v>0</v>
      </c>
      <c r="G90" s="203">
        <f>IF(G79&gt;e_ecolifetime_yr,0,('4. Pathway 4'!$F$89+'4. Pathway 4'!$F$88)*'Data - economic'!$I$43)</f>
        <v>0</v>
      </c>
      <c r="H90" s="203">
        <f>IF(H79&gt;e_ecolifetime_yr,0,('4. Pathway 4'!$F$89+'4. Pathway 4'!$F$88)*'Data - economic'!$I$43)</f>
        <v>0</v>
      </c>
      <c r="I90" s="203">
        <f>IF(I79&gt;e_ecolifetime_yr,0,('4. Pathway 4'!$F$89+'4. Pathway 4'!$F$88)*'Data - economic'!$I$43)</f>
        <v>0</v>
      </c>
      <c r="J90" s="203">
        <f>IF(J79&gt;e_ecolifetime_yr,0,('4. Pathway 4'!$F$89+'4. Pathway 4'!$F$88)*'Data - economic'!$I$43)</f>
        <v>0</v>
      </c>
      <c r="K90" s="203">
        <f>IF(K79&gt;e_ecolifetime_yr,0,('4. Pathway 4'!$F$89+'4. Pathway 4'!$F$88)*'Data - economic'!$I$43)</f>
        <v>0</v>
      </c>
      <c r="L90" s="203">
        <f>IF(L79&gt;e_ecolifetime_yr,0,('4. Pathway 4'!$F$89+'4. Pathway 4'!$F$88)*'Data - economic'!$I$43)</f>
        <v>0</v>
      </c>
      <c r="M90" s="203">
        <f>IF(M79&gt;e_ecolifetime_yr,0,('4. Pathway 4'!$F$89+'4. Pathway 4'!$F$88)*'Data - economic'!$I$43)</f>
        <v>0</v>
      </c>
      <c r="N90" s="203">
        <f>IF(N79&gt;e_ecolifetime_yr,0,('4. Pathway 4'!$F$89+'4. Pathway 4'!$F$88)*'Data - economic'!$I$43)</f>
        <v>0</v>
      </c>
      <c r="O90" s="203">
        <f>IF(O79&gt;e_ecolifetime_yr,0,('4. Pathway 4'!$F$89+'4. Pathway 4'!$F$88)*'Data - economic'!$I$43)</f>
        <v>0</v>
      </c>
      <c r="P90" s="203">
        <f>IF(P79&gt;e_ecolifetime_yr,0,('4. Pathway 4'!$F$89+'4. Pathway 4'!$F$88)*'Data - economic'!$I$43)</f>
        <v>0</v>
      </c>
      <c r="Q90" s="203">
        <f>IF(Q79&gt;e_ecolifetime_yr,0,('4. Pathway 4'!$F$89+'4. Pathway 4'!$F$88)*'Data - economic'!$I$43)</f>
        <v>0</v>
      </c>
      <c r="R90" s="203">
        <f>IF(R79&gt;e_ecolifetime_yr,0,('4. Pathway 4'!$F$89+'4. Pathway 4'!$F$88)*'Data - economic'!$I$43)</f>
        <v>0</v>
      </c>
      <c r="S90" s="203">
        <f>IF(S79&gt;e_ecolifetime_yr,0,('4. Pathway 4'!$F$89+'4. Pathway 4'!$F$88)*'Data - economic'!$I$43)</f>
        <v>0</v>
      </c>
      <c r="T90" s="203">
        <f>IF(T79&gt;e_ecolifetime_yr,0,('4. Pathway 4'!$F$89+'4. Pathway 4'!$F$88)*'Data - economic'!$I$43)</f>
        <v>0</v>
      </c>
      <c r="U90" s="203">
        <f>IF(U79&gt;e_ecolifetime_yr,0,('4. Pathway 4'!$F$89+'4. Pathway 4'!$F$88)*'Data - economic'!$I$43)</f>
        <v>0</v>
      </c>
      <c r="V90" s="203">
        <f>IF(V79&gt;e_ecolifetime_yr,0,('4. Pathway 4'!$F$89+'4. Pathway 4'!$F$88)*'Data - economic'!$I$43)</f>
        <v>0</v>
      </c>
      <c r="W90" s="203">
        <f>IF(W79&gt;e_ecolifetime_yr,0,('4. Pathway 4'!$F$89+'4. Pathway 4'!$F$88)*'Data - economic'!$I$43)</f>
        <v>0</v>
      </c>
      <c r="X90" s="203">
        <f>IF(X79&gt;e_ecolifetime_yr,0,('4. Pathway 4'!$F$89+'4. Pathway 4'!$F$88)*'Data - economic'!$I$43)</f>
        <v>0</v>
      </c>
      <c r="Y90" s="203">
        <f>IF(Y79&gt;e_ecolifetime_yr,0,('4. Pathway 4'!$F$89+'4. Pathway 4'!$F$88)*'Data - economic'!$I$43)</f>
        <v>0</v>
      </c>
      <c r="Z90" s="203">
        <f>IF(Z79&gt;e_ecolifetime_yr,0,('4. Pathway 4'!$F$89+'4. Pathway 4'!$F$88)*'Data - economic'!$I$43)</f>
        <v>0</v>
      </c>
      <c r="AA90" s="203">
        <f>IF(AA79&gt;e_ecolifetime_yr,0,('4. Pathway 4'!$F$89+'4. Pathway 4'!$F$88)*'Data - economic'!$I$43)</f>
        <v>0</v>
      </c>
      <c r="AB90" s="203">
        <f>IF(AB79&gt;e_ecolifetime_yr,0,('4. Pathway 4'!$F$89+'4. Pathway 4'!$F$88)*'Data - economic'!$I$43)</f>
        <v>0</v>
      </c>
      <c r="AC90" s="203">
        <f>IF(AC79&gt;e_ecolifetime_yr,0,('4. Pathway 4'!$F$89+'4. Pathway 4'!$F$88)*'Data - economic'!$I$43)</f>
        <v>0</v>
      </c>
      <c r="AD90" s="203">
        <f>IF(AD79&gt;e_ecolifetime_yr,0,('4. Pathway 4'!$F$89+'4. Pathway 4'!$F$88)*'Data - economic'!$I$43)</f>
        <v>0</v>
      </c>
      <c r="AE90" s="203">
        <f>IF(AE79&gt;e_ecolifetime_yr,0,('4. Pathway 4'!$F$89+'4. Pathway 4'!$F$88)*'Data - economic'!$I$43)</f>
        <v>0</v>
      </c>
      <c r="AF90" s="203">
        <f>IF(AF79&gt;e_ecolifetime_yr,0,('4. Pathway 4'!$F$89+'4. Pathway 4'!$F$88)*'Data - economic'!$I$43)</f>
        <v>0</v>
      </c>
      <c r="AG90" s="203">
        <f>IF(AG79&gt;e_ecolifetime_yr,0,('4. Pathway 4'!$F$89+'4. Pathway 4'!$F$88)*'Data - economic'!$I$43)</f>
        <v>0</v>
      </c>
      <c r="AH90" s="203">
        <f>IF(AH79&gt;e_ecolifetime_yr,0,('4. Pathway 4'!$F$89+'4. Pathway 4'!$F$88)*'Data - economic'!$I$43)</f>
        <v>0</v>
      </c>
      <c r="AI90" s="206">
        <f>IF(AI79&gt;e_ecolifetime_yr,0,('4. Pathway 4'!$F$89+'4. Pathway 4'!$F$88)*'Data - economic'!$I$43)</f>
        <v>0</v>
      </c>
    </row>
    <row r="91" spans="2:35" x14ac:dyDescent="0.2">
      <c r="B91" s="9"/>
      <c r="C91" s="21"/>
      <c r="D91" s="1" t="s">
        <v>342</v>
      </c>
      <c r="E91" s="203"/>
      <c r="F91" s="203">
        <f>IF(F79&gt;e_ecolifetime_yr,0,'4. Pathway 4'!$F$89*'Data - economic'!$I$44)</f>
        <v>0</v>
      </c>
      <c r="G91" s="203">
        <f>IF(G79&gt;e_ecolifetime_yr,0,'4. Pathway 4'!$F$89*'Data - economic'!$I$44)</f>
        <v>0</v>
      </c>
      <c r="H91" s="203">
        <f>IF(H79&gt;e_ecolifetime_yr,0,'4. Pathway 4'!$F$89*'Data - economic'!$I$44)</f>
        <v>0</v>
      </c>
      <c r="I91" s="203">
        <f>IF(I79&gt;e_ecolifetime_yr,0,'4. Pathway 4'!$F$89*'Data - economic'!$I$44)</f>
        <v>0</v>
      </c>
      <c r="J91" s="203">
        <f>IF(J79&gt;e_ecolifetime_yr,0,'4. Pathway 4'!$F$89*'Data - economic'!$I$44)</f>
        <v>0</v>
      </c>
      <c r="K91" s="203">
        <f>IF(K79&gt;e_ecolifetime_yr,0,'4. Pathway 4'!$F$89*'Data - economic'!$I$44)</f>
        <v>0</v>
      </c>
      <c r="L91" s="203">
        <f>IF(L79&gt;e_ecolifetime_yr,0,'4. Pathway 4'!$F$89*'Data - economic'!$I$44)</f>
        <v>0</v>
      </c>
      <c r="M91" s="203">
        <f>IF(M79&gt;e_ecolifetime_yr,0,'4. Pathway 4'!$F$89*'Data - economic'!$I$44)</f>
        <v>0</v>
      </c>
      <c r="N91" s="203">
        <f>IF(N79&gt;e_ecolifetime_yr,0,'4. Pathway 4'!$F$89*'Data - economic'!$I$44)</f>
        <v>0</v>
      </c>
      <c r="O91" s="203">
        <f>IF(O79&gt;e_ecolifetime_yr,0,'4. Pathway 4'!$F$89*'Data - economic'!$I$44)</f>
        <v>0</v>
      </c>
      <c r="P91" s="203">
        <f>IF(P79&gt;e_ecolifetime_yr,0,'4. Pathway 4'!$F$89*'Data - economic'!$I$44)</f>
        <v>0</v>
      </c>
      <c r="Q91" s="203">
        <f>IF(Q79&gt;e_ecolifetime_yr,0,'4. Pathway 4'!$F$89*'Data - economic'!$I$44)</f>
        <v>0</v>
      </c>
      <c r="R91" s="203">
        <f>IF(R79&gt;e_ecolifetime_yr,0,'4. Pathway 4'!$F$89*'Data - economic'!$I$44)</f>
        <v>0</v>
      </c>
      <c r="S91" s="203">
        <f>IF(S79&gt;e_ecolifetime_yr,0,'4. Pathway 4'!$F$89*'Data - economic'!$I$44)</f>
        <v>0</v>
      </c>
      <c r="T91" s="203">
        <f>IF(T79&gt;e_ecolifetime_yr,0,'4. Pathway 4'!$F$89*'Data - economic'!$I$44)</f>
        <v>0</v>
      </c>
      <c r="U91" s="203">
        <f>IF(U79&gt;e_ecolifetime_yr,0,'4. Pathway 4'!$F$89*'Data - economic'!$I$44)</f>
        <v>0</v>
      </c>
      <c r="V91" s="203">
        <f>IF(V79&gt;e_ecolifetime_yr,0,'4. Pathway 4'!$F$89*'Data - economic'!$I$44)</f>
        <v>0</v>
      </c>
      <c r="W91" s="203">
        <f>IF(W79&gt;e_ecolifetime_yr,0,'4. Pathway 4'!$F$89*'Data - economic'!$I$44)</f>
        <v>0</v>
      </c>
      <c r="X91" s="203">
        <f>IF(X79&gt;e_ecolifetime_yr,0,'4. Pathway 4'!$F$89*'Data - economic'!$I$44)</f>
        <v>0</v>
      </c>
      <c r="Y91" s="203">
        <f>IF(Y79&gt;e_ecolifetime_yr,0,'4. Pathway 4'!$F$89*'Data - economic'!$I$44)</f>
        <v>0</v>
      </c>
      <c r="Z91" s="203">
        <f>IF(Z79&gt;e_ecolifetime_yr,0,'4. Pathway 4'!$F$89*'Data - economic'!$I$44)</f>
        <v>0</v>
      </c>
      <c r="AA91" s="203">
        <f>IF(AA79&gt;e_ecolifetime_yr,0,'4. Pathway 4'!$F$89*'Data - economic'!$I$44)</f>
        <v>0</v>
      </c>
      <c r="AB91" s="203">
        <f>IF(AB79&gt;e_ecolifetime_yr,0,'4. Pathway 4'!$F$89*'Data - economic'!$I$44)</f>
        <v>0</v>
      </c>
      <c r="AC91" s="203">
        <f>IF(AC79&gt;e_ecolifetime_yr,0,'4. Pathway 4'!$F$89*'Data - economic'!$I$44)</f>
        <v>0</v>
      </c>
      <c r="AD91" s="203">
        <f>IF(AD79&gt;e_ecolifetime_yr,0,'4. Pathway 4'!$F$89*'Data - economic'!$I$44)</f>
        <v>0</v>
      </c>
      <c r="AE91" s="203">
        <f>IF(AE79&gt;e_ecolifetime_yr,0,'4. Pathway 4'!$F$89*'Data - economic'!$I$44)</f>
        <v>0</v>
      </c>
      <c r="AF91" s="203">
        <f>IF(AF79&gt;e_ecolifetime_yr,0,'4. Pathway 4'!$F$89*'Data - economic'!$I$44)</f>
        <v>0</v>
      </c>
      <c r="AG91" s="203">
        <f>IF(AG79&gt;e_ecolifetime_yr,0,'4. Pathway 4'!$F$89*'Data - economic'!$I$44)</f>
        <v>0</v>
      </c>
      <c r="AH91" s="203">
        <f>IF(AH79&gt;e_ecolifetime_yr,0,'4. Pathway 4'!$F$89*'Data - economic'!$I$44)</f>
        <v>0</v>
      </c>
      <c r="AI91" s="206">
        <f>IF(AI79&gt;e_ecolifetime_yr,0,'4. Pathway 4'!$F$89*'Data - economic'!$I$44)</f>
        <v>0</v>
      </c>
    </row>
    <row r="92" spans="2:35" x14ac:dyDescent="0.2">
      <c r="B92" s="9"/>
      <c r="C92" s="21"/>
      <c r="D92" s="1" t="s">
        <v>344</v>
      </c>
      <c r="E92" s="203"/>
      <c r="F92" s="203">
        <f>IF(F79&gt;e_ecolifetime_yr,0,'4. Pathway 4'!$F$89*'Data - economic'!$I$45)</f>
        <v>0</v>
      </c>
      <c r="G92" s="203">
        <f>IF(G79&gt;e_ecolifetime_yr,0,'4. Pathway 4'!$F$89*'Data - economic'!$I$45)</f>
        <v>0</v>
      </c>
      <c r="H92" s="203">
        <f>IF(H79&gt;e_ecolifetime_yr,0,'4. Pathway 4'!$F$89*'Data - economic'!$I$45)</f>
        <v>0</v>
      </c>
      <c r="I92" s="203">
        <f>IF(I79&gt;e_ecolifetime_yr,0,'4. Pathway 4'!$F$89*'Data - economic'!$I$45)</f>
        <v>0</v>
      </c>
      <c r="J92" s="203">
        <f>IF(J79&gt;e_ecolifetime_yr,0,'4. Pathway 4'!$F$89*'Data - economic'!$I$45)</f>
        <v>0</v>
      </c>
      <c r="K92" s="203">
        <f>IF(K79&gt;e_ecolifetime_yr,0,'4. Pathway 4'!$F$89*'Data - economic'!$I$45)</f>
        <v>0</v>
      </c>
      <c r="L92" s="203">
        <f>IF(L79&gt;e_ecolifetime_yr,0,'4. Pathway 4'!$F$89*'Data - economic'!$I$45)</f>
        <v>0</v>
      </c>
      <c r="M92" s="203">
        <f>IF(M79&gt;e_ecolifetime_yr,0,'4. Pathway 4'!$F$89*'Data - economic'!$I$45)</f>
        <v>0</v>
      </c>
      <c r="N92" s="203">
        <f>IF(N79&gt;e_ecolifetime_yr,0,'4. Pathway 4'!$F$89*'Data - economic'!$I$45)</f>
        <v>0</v>
      </c>
      <c r="O92" s="203">
        <f>IF(O79&gt;e_ecolifetime_yr,0,'4. Pathway 4'!$F$89*'Data - economic'!$I$45)</f>
        <v>0</v>
      </c>
      <c r="P92" s="203">
        <f>IF(P79&gt;e_ecolifetime_yr,0,'4. Pathway 4'!$F$89*'Data - economic'!$I$45)</f>
        <v>0</v>
      </c>
      <c r="Q92" s="203">
        <f>IF(Q79&gt;e_ecolifetime_yr,0,'4. Pathway 4'!$F$89*'Data - economic'!$I$45)</f>
        <v>0</v>
      </c>
      <c r="R92" s="203">
        <f>IF(R79&gt;e_ecolifetime_yr,0,'4. Pathway 4'!$F$89*'Data - economic'!$I$45)</f>
        <v>0</v>
      </c>
      <c r="S92" s="203">
        <f>IF(S79&gt;e_ecolifetime_yr,0,'4. Pathway 4'!$F$89*'Data - economic'!$I$45)</f>
        <v>0</v>
      </c>
      <c r="T92" s="203">
        <f>IF(T79&gt;e_ecolifetime_yr,0,'4. Pathway 4'!$F$89*'Data - economic'!$I$45)</f>
        <v>0</v>
      </c>
      <c r="U92" s="203">
        <f>IF(U79&gt;e_ecolifetime_yr,0,'4. Pathway 4'!$F$89*'Data - economic'!$I$45)</f>
        <v>0</v>
      </c>
      <c r="V92" s="203">
        <f>IF(V79&gt;e_ecolifetime_yr,0,'4. Pathway 4'!$F$89*'Data - economic'!$I$45)</f>
        <v>0</v>
      </c>
      <c r="W92" s="203">
        <f>IF(W79&gt;e_ecolifetime_yr,0,'4. Pathway 4'!$F$89*'Data - economic'!$I$45)</f>
        <v>0</v>
      </c>
      <c r="X92" s="203">
        <f>IF(X79&gt;e_ecolifetime_yr,0,'4. Pathway 4'!$F$89*'Data - economic'!$I$45)</f>
        <v>0</v>
      </c>
      <c r="Y92" s="203">
        <f>IF(Y79&gt;e_ecolifetime_yr,0,'4. Pathway 4'!$F$89*'Data - economic'!$I$45)</f>
        <v>0</v>
      </c>
      <c r="Z92" s="203">
        <f>IF(Z79&gt;e_ecolifetime_yr,0,'4. Pathway 4'!$F$89*'Data - economic'!$I$45)</f>
        <v>0</v>
      </c>
      <c r="AA92" s="203">
        <f>IF(AA79&gt;e_ecolifetime_yr,0,'4. Pathway 4'!$F$89*'Data - economic'!$I$45)</f>
        <v>0</v>
      </c>
      <c r="AB92" s="203">
        <f>IF(AB79&gt;e_ecolifetime_yr,0,'4. Pathway 4'!$F$89*'Data - economic'!$I$45)</f>
        <v>0</v>
      </c>
      <c r="AC92" s="203">
        <f>IF(AC79&gt;e_ecolifetime_yr,0,'4. Pathway 4'!$F$89*'Data - economic'!$I$45)</f>
        <v>0</v>
      </c>
      <c r="AD92" s="203">
        <f>IF(AD79&gt;e_ecolifetime_yr,0,'4. Pathway 4'!$F$89*'Data - economic'!$I$45)</f>
        <v>0</v>
      </c>
      <c r="AE92" s="203">
        <f>IF(AE79&gt;e_ecolifetime_yr,0,'4. Pathway 4'!$F$89*'Data - economic'!$I$45)</f>
        <v>0</v>
      </c>
      <c r="AF92" s="203">
        <f>IF(AF79&gt;e_ecolifetime_yr,0,'4. Pathway 4'!$F$89*'Data - economic'!$I$45)</f>
        <v>0</v>
      </c>
      <c r="AG92" s="203">
        <f>IF(AG79&gt;e_ecolifetime_yr,0,'4. Pathway 4'!$F$89*'Data - economic'!$I$45)</f>
        <v>0</v>
      </c>
      <c r="AH92" s="203">
        <f>IF(AH79&gt;e_ecolifetime_yr,0,'4. Pathway 4'!$F$89*'Data - economic'!$I$45)</f>
        <v>0</v>
      </c>
      <c r="AI92" s="206">
        <f>IF(AI79&gt;e_ecolifetime_yr,0,'4. Pathway 4'!$F$89*'Data - economic'!$I$45)</f>
        <v>0</v>
      </c>
    </row>
    <row r="93" spans="2:35" x14ac:dyDescent="0.2">
      <c r="B93" s="9"/>
      <c r="C93" s="21"/>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6"/>
    </row>
    <row r="94" spans="2:35" x14ac:dyDescent="0.2">
      <c r="B94" s="9"/>
      <c r="C94" s="21"/>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6"/>
    </row>
    <row r="95" spans="2:35" x14ac:dyDescent="0.2">
      <c r="B95" s="9"/>
      <c r="C95" s="21" t="s">
        <v>49</v>
      </c>
      <c r="D95" s="1" t="s">
        <v>462</v>
      </c>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6"/>
    </row>
    <row r="96" spans="2:35" x14ac:dyDescent="0.2">
      <c r="B96" s="9"/>
      <c r="C96" s="21"/>
      <c r="D96" s="1" t="s">
        <v>169</v>
      </c>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6"/>
    </row>
    <row r="97" spans="2:35" x14ac:dyDescent="0.2">
      <c r="B97" s="9"/>
      <c r="C97" s="21"/>
      <c r="D97" s="1" t="s">
        <v>168</v>
      </c>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6"/>
    </row>
    <row r="98" spans="2:35" x14ac:dyDescent="0.2">
      <c r="B98" s="9"/>
      <c r="C98" s="21"/>
      <c r="D98" s="1" t="s">
        <v>170</v>
      </c>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6"/>
    </row>
    <row r="99" spans="2:35" x14ac:dyDescent="0.2">
      <c r="B99" s="9"/>
      <c r="C99" s="21"/>
      <c r="D99" s="1" t="s">
        <v>172</v>
      </c>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6"/>
    </row>
    <row r="100" spans="2:35" x14ac:dyDescent="0.2">
      <c r="B100" s="9"/>
      <c r="C100" s="21"/>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6"/>
    </row>
    <row r="101" spans="2:35" x14ac:dyDescent="0.2">
      <c r="B101" s="9"/>
      <c r="C101" s="21" t="s">
        <v>49</v>
      </c>
      <c r="D101" s="1" t="s">
        <v>462</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6"/>
    </row>
    <row r="102" spans="2:35" x14ac:dyDescent="0.2">
      <c r="B102" s="9"/>
      <c r="C102" s="21"/>
      <c r="D102" s="1" t="s">
        <v>169</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6"/>
    </row>
    <row r="103" spans="2:35" x14ac:dyDescent="0.2">
      <c r="B103" s="9"/>
      <c r="C103" s="21"/>
      <c r="D103" s="1" t="s">
        <v>168</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6"/>
    </row>
    <row r="104" spans="2:35" x14ac:dyDescent="0.2">
      <c r="B104" s="9"/>
      <c r="C104" s="21"/>
      <c r="D104" s="1" t="s">
        <v>170</v>
      </c>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6"/>
    </row>
    <row r="105" spans="2:35" x14ac:dyDescent="0.2">
      <c r="B105" s="9"/>
      <c r="C105" s="21"/>
      <c r="D105" s="1" t="s">
        <v>172</v>
      </c>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6"/>
    </row>
    <row r="106" spans="2:35" x14ac:dyDescent="0.2">
      <c r="B106" s="9"/>
      <c r="C106" s="21"/>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6"/>
    </row>
    <row r="107" spans="2:35" x14ac:dyDescent="0.2">
      <c r="B107" s="9"/>
      <c r="C107" s="21"/>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6"/>
    </row>
    <row r="108" spans="2:35" s="6" customFormat="1" x14ac:dyDescent="0.2">
      <c r="B108" s="8" t="s">
        <v>366</v>
      </c>
      <c r="C108" s="90"/>
      <c r="D108" s="8"/>
      <c r="E108" s="201"/>
      <c r="F108" s="201">
        <f>SUM(F109:F113)</f>
        <v>0</v>
      </c>
      <c r="G108" s="201">
        <f t="shared" ref="G108:AI108" si="2">SUM(G109:G113)</f>
        <v>0</v>
      </c>
      <c r="H108" s="201">
        <f t="shared" si="2"/>
        <v>0</v>
      </c>
      <c r="I108" s="201">
        <f t="shared" si="2"/>
        <v>0</v>
      </c>
      <c r="J108" s="201">
        <f t="shared" si="2"/>
        <v>0</v>
      </c>
      <c r="K108" s="201">
        <f t="shared" si="2"/>
        <v>0</v>
      </c>
      <c r="L108" s="201">
        <f t="shared" si="2"/>
        <v>0</v>
      </c>
      <c r="M108" s="201">
        <f t="shared" si="2"/>
        <v>0</v>
      </c>
      <c r="N108" s="201">
        <f t="shared" si="2"/>
        <v>0</v>
      </c>
      <c r="O108" s="201">
        <f t="shared" si="2"/>
        <v>0</v>
      </c>
      <c r="P108" s="201">
        <f t="shared" si="2"/>
        <v>0</v>
      </c>
      <c r="Q108" s="201">
        <f t="shared" si="2"/>
        <v>0</v>
      </c>
      <c r="R108" s="201">
        <f t="shared" si="2"/>
        <v>0</v>
      </c>
      <c r="S108" s="201">
        <f t="shared" si="2"/>
        <v>0</v>
      </c>
      <c r="T108" s="201">
        <f t="shared" si="2"/>
        <v>0</v>
      </c>
      <c r="U108" s="201">
        <f t="shared" si="2"/>
        <v>0</v>
      </c>
      <c r="V108" s="201">
        <f t="shared" si="2"/>
        <v>0</v>
      </c>
      <c r="W108" s="201">
        <f t="shared" si="2"/>
        <v>0</v>
      </c>
      <c r="X108" s="201">
        <f t="shared" si="2"/>
        <v>0</v>
      </c>
      <c r="Y108" s="201">
        <f t="shared" si="2"/>
        <v>0</v>
      </c>
      <c r="Z108" s="201">
        <f t="shared" si="2"/>
        <v>0</v>
      </c>
      <c r="AA108" s="201">
        <f t="shared" si="2"/>
        <v>0</v>
      </c>
      <c r="AB108" s="201">
        <f t="shared" si="2"/>
        <v>0</v>
      </c>
      <c r="AC108" s="201">
        <f t="shared" si="2"/>
        <v>0</v>
      </c>
      <c r="AD108" s="201">
        <f t="shared" si="2"/>
        <v>0</v>
      </c>
      <c r="AE108" s="201">
        <f t="shared" si="2"/>
        <v>0</v>
      </c>
      <c r="AF108" s="201">
        <f t="shared" si="2"/>
        <v>0</v>
      </c>
      <c r="AG108" s="201">
        <f t="shared" si="2"/>
        <v>0</v>
      </c>
      <c r="AH108" s="201">
        <f t="shared" si="2"/>
        <v>0</v>
      </c>
      <c r="AI108" s="202">
        <f t="shared" si="2"/>
        <v>0</v>
      </c>
    </row>
    <row r="109" spans="2:35" x14ac:dyDescent="0.2">
      <c r="B109" s="9"/>
      <c r="C109" s="21" t="s">
        <v>49</v>
      </c>
      <c r="D109" s="1" t="s">
        <v>370</v>
      </c>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6"/>
    </row>
    <row r="110" spans="2:35" x14ac:dyDescent="0.2">
      <c r="B110" s="9"/>
      <c r="C110" s="21"/>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6"/>
    </row>
    <row r="111" spans="2:35" x14ac:dyDescent="0.2">
      <c r="B111" s="9"/>
      <c r="C111" s="21"/>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6"/>
    </row>
    <row r="112" spans="2:35" x14ac:dyDescent="0.2">
      <c r="B112" s="9"/>
      <c r="C112" s="21" t="s">
        <v>164</v>
      </c>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6"/>
    </row>
    <row r="113" spans="2:35" x14ac:dyDescent="0.2">
      <c r="B113" s="9"/>
      <c r="C113" s="21"/>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6"/>
    </row>
    <row r="114" spans="2:35" s="6" customFormat="1" x14ac:dyDescent="0.2">
      <c r="B114" s="10" t="s">
        <v>463</v>
      </c>
      <c r="C114" s="93"/>
      <c r="D114" s="10"/>
      <c r="E114" s="94"/>
      <c r="F114" s="94">
        <f t="shared" ref="F114:AI114" si="3">F108-F86-F80</f>
        <v>0</v>
      </c>
      <c r="G114" s="94">
        <f t="shared" si="3"/>
        <v>0</v>
      </c>
      <c r="H114" s="94">
        <f t="shared" si="3"/>
        <v>0</v>
      </c>
      <c r="I114" s="94">
        <f t="shared" si="3"/>
        <v>0</v>
      </c>
      <c r="J114" s="94">
        <f t="shared" si="3"/>
        <v>0</v>
      </c>
      <c r="K114" s="94">
        <f t="shared" si="3"/>
        <v>0</v>
      </c>
      <c r="L114" s="94">
        <f t="shared" si="3"/>
        <v>0</v>
      </c>
      <c r="M114" s="94">
        <f t="shared" si="3"/>
        <v>0</v>
      </c>
      <c r="N114" s="94">
        <f t="shared" si="3"/>
        <v>0</v>
      </c>
      <c r="O114" s="94">
        <f t="shared" si="3"/>
        <v>0</v>
      </c>
      <c r="P114" s="94">
        <f t="shared" si="3"/>
        <v>0</v>
      </c>
      <c r="Q114" s="94">
        <f t="shared" si="3"/>
        <v>0</v>
      </c>
      <c r="R114" s="94">
        <f t="shared" si="3"/>
        <v>0</v>
      </c>
      <c r="S114" s="94">
        <f t="shared" si="3"/>
        <v>0</v>
      </c>
      <c r="T114" s="94">
        <f t="shared" si="3"/>
        <v>0</v>
      </c>
      <c r="U114" s="94">
        <f t="shared" si="3"/>
        <v>0</v>
      </c>
      <c r="V114" s="94">
        <f t="shared" si="3"/>
        <v>0</v>
      </c>
      <c r="W114" s="94">
        <f t="shared" si="3"/>
        <v>0</v>
      </c>
      <c r="X114" s="94">
        <f t="shared" si="3"/>
        <v>0</v>
      </c>
      <c r="Y114" s="94">
        <f t="shared" si="3"/>
        <v>0</v>
      </c>
      <c r="Z114" s="94">
        <f t="shared" si="3"/>
        <v>0</v>
      </c>
      <c r="AA114" s="94">
        <f t="shared" si="3"/>
        <v>0</v>
      </c>
      <c r="AB114" s="94">
        <f t="shared" si="3"/>
        <v>0</v>
      </c>
      <c r="AC114" s="94">
        <f t="shared" si="3"/>
        <v>0</v>
      </c>
      <c r="AD114" s="94">
        <f t="shared" si="3"/>
        <v>0</v>
      </c>
      <c r="AE114" s="94">
        <f t="shared" si="3"/>
        <v>0</v>
      </c>
      <c r="AF114" s="94">
        <f t="shared" si="3"/>
        <v>0</v>
      </c>
      <c r="AG114" s="94">
        <f t="shared" si="3"/>
        <v>0</v>
      </c>
      <c r="AH114" s="94">
        <f t="shared" si="3"/>
        <v>0</v>
      </c>
      <c r="AI114" s="207">
        <f t="shared" si="3"/>
        <v>0</v>
      </c>
    </row>
    <row r="115" spans="2:35" x14ac:dyDescent="0.2">
      <c r="B115" s="8" t="s">
        <v>464</v>
      </c>
      <c r="C115" s="21" t="s">
        <v>49</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6"/>
    </row>
    <row r="116" spans="2:35" x14ac:dyDescent="0.2">
      <c r="B116" s="9"/>
      <c r="C116" s="21" t="s">
        <v>49</v>
      </c>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6"/>
    </row>
    <row r="117" spans="2:35" x14ac:dyDescent="0.2">
      <c r="B117" s="9"/>
      <c r="C117" s="21"/>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6"/>
    </row>
    <row r="118" spans="2:35" x14ac:dyDescent="0.2">
      <c r="B118" s="9"/>
      <c r="C118" s="21"/>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6"/>
    </row>
    <row r="119" spans="2:35" x14ac:dyDescent="0.2">
      <c r="B119" s="9"/>
      <c r="C119" s="21"/>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6"/>
    </row>
    <row r="120" spans="2:35" x14ac:dyDescent="0.2">
      <c r="B120" s="44" t="s">
        <v>465</v>
      </c>
      <c r="C120" s="21"/>
      <c r="D120" s="9"/>
      <c r="E120" s="208"/>
      <c r="F120" s="208">
        <f>SUM(F115:F119)</f>
        <v>0</v>
      </c>
      <c r="G120" s="208">
        <f t="shared" ref="G120:AI120" si="4">SUM(G115:G119)</f>
        <v>0</v>
      </c>
      <c r="H120" s="208">
        <f t="shared" si="4"/>
        <v>0</v>
      </c>
      <c r="I120" s="208">
        <f t="shared" si="4"/>
        <v>0</v>
      </c>
      <c r="J120" s="208">
        <f t="shared" si="4"/>
        <v>0</v>
      </c>
      <c r="K120" s="208">
        <f t="shared" si="4"/>
        <v>0</v>
      </c>
      <c r="L120" s="208">
        <f t="shared" si="4"/>
        <v>0</v>
      </c>
      <c r="M120" s="208">
        <f t="shared" si="4"/>
        <v>0</v>
      </c>
      <c r="N120" s="208">
        <f t="shared" si="4"/>
        <v>0</v>
      </c>
      <c r="O120" s="208">
        <f t="shared" si="4"/>
        <v>0</v>
      </c>
      <c r="P120" s="208">
        <f t="shared" si="4"/>
        <v>0</v>
      </c>
      <c r="Q120" s="208">
        <f t="shared" si="4"/>
        <v>0</v>
      </c>
      <c r="R120" s="208">
        <f t="shared" si="4"/>
        <v>0</v>
      </c>
      <c r="S120" s="208">
        <f t="shared" si="4"/>
        <v>0</v>
      </c>
      <c r="T120" s="208">
        <f t="shared" si="4"/>
        <v>0</v>
      </c>
      <c r="U120" s="208">
        <f t="shared" si="4"/>
        <v>0</v>
      </c>
      <c r="V120" s="208">
        <f t="shared" si="4"/>
        <v>0</v>
      </c>
      <c r="W120" s="208">
        <f t="shared" si="4"/>
        <v>0</v>
      </c>
      <c r="X120" s="208">
        <f t="shared" si="4"/>
        <v>0</v>
      </c>
      <c r="Y120" s="208">
        <f t="shared" si="4"/>
        <v>0</v>
      </c>
      <c r="Z120" s="208">
        <f t="shared" si="4"/>
        <v>0</v>
      </c>
      <c r="AA120" s="208">
        <f t="shared" si="4"/>
        <v>0</v>
      </c>
      <c r="AB120" s="208">
        <f t="shared" si="4"/>
        <v>0</v>
      </c>
      <c r="AC120" s="208">
        <f t="shared" si="4"/>
        <v>0</v>
      </c>
      <c r="AD120" s="208">
        <f t="shared" si="4"/>
        <v>0</v>
      </c>
      <c r="AE120" s="208">
        <f t="shared" si="4"/>
        <v>0</v>
      </c>
      <c r="AF120" s="208">
        <f t="shared" si="4"/>
        <v>0</v>
      </c>
      <c r="AG120" s="208">
        <f t="shared" si="4"/>
        <v>0</v>
      </c>
      <c r="AH120" s="208">
        <f t="shared" si="4"/>
        <v>0</v>
      </c>
      <c r="AI120" s="209">
        <f t="shared" si="4"/>
        <v>0</v>
      </c>
    </row>
    <row r="121" spans="2:35" x14ac:dyDescent="0.2">
      <c r="B121" s="44" t="s">
        <v>466</v>
      </c>
      <c r="C121" s="9"/>
      <c r="E121" s="203" cm="1">
        <f t="array" ref="E121">e_debt_ratio*'4. Pathway 4'!E80</f>
        <v>0</v>
      </c>
      <c r="F121" s="203" cm="1">
        <f t="array" ref="F121">IF(F79&gt;e_ecolifetime_yr,0,E121*e_interestrate)</f>
        <v>0</v>
      </c>
      <c r="G121" s="203" cm="1">
        <f t="array" ref="G121">IF(G79&gt;e_ecolifetime_yr,0,($E$121-(F122*F79))*e_interestrate)</f>
        <v>0</v>
      </c>
      <c r="H121" s="203" cm="1">
        <f t="array" ref="H121">IF(H79&gt;e_ecolifetime_yr,0,($E$121-(G122*G79))*e_interestrate)</f>
        <v>0</v>
      </c>
      <c r="I121" s="203" cm="1">
        <f t="array" ref="I121">IF(I79&gt;e_ecolifetime_yr,0,($E$121-(H122*H79))*e_interestrate)</f>
        <v>0</v>
      </c>
      <c r="J121" s="203" cm="1">
        <f t="array" ref="J121">IF(J79&gt;e_ecolifetime_yr,0,($E$121-(I122*I79))*e_interestrate)</f>
        <v>0</v>
      </c>
      <c r="K121" s="203" cm="1">
        <f t="array" ref="K121">IF(K79&gt;e_ecolifetime_yr,0,($E$121-(J122*J79))*e_interestrate)</f>
        <v>0</v>
      </c>
      <c r="L121" s="203" cm="1">
        <f t="array" ref="L121">IF(L79&gt;e_ecolifetime_yr,0,($E$121-(K122*K79))*e_interestrate)</f>
        <v>0</v>
      </c>
      <c r="M121" s="203" cm="1">
        <f t="array" ref="M121">IF(M79&gt;e_ecolifetime_yr,0,($E$121-(L122*L79))*e_interestrate)</f>
        <v>0</v>
      </c>
      <c r="N121" s="203" cm="1">
        <f t="array" ref="N121">IF(N79&gt;e_ecolifetime_yr,0,($E$121-(M122*M79))*e_interestrate)</f>
        <v>0</v>
      </c>
      <c r="O121" s="203" cm="1">
        <f t="array" ref="O121">IF(O79&gt;e_ecolifetime_yr,0,($E$121-(N122*N79))*e_interestrate)</f>
        <v>0</v>
      </c>
      <c r="P121" s="203" cm="1">
        <f t="array" ref="P121">IF(P79&gt;e_ecolifetime_yr,0,($E$121-(O122*O79))*e_interestrate)</f>
        <v>0</v>
      </c>
      <c r="Q121" s="203" cm="1">
        <f t="array" ref="Q121">IF(Q79&gt;e_ecolifetime_yr,0,($E$121-(P122*P79))*e_interestrate)</f>
        <v>0</v>
      </c>
      <c r="R121" s="203" cm="1">
        <f t="array" ref="R121">IF(R79&gt;e_ecolifetime_yr,0,($E$121-(Q122*Q79))*e_interestrate)</f>
        <v>0</v>
      </c>
      <c r="S121" s="203" cm="1">
        <f t="array" ref="S121">IF(S79&gt;e_ecolifetime_yr,0,($E$121-(R122*R79))*e_interestrate)</f>
        <v>0</v>
      </c>
      <c r="T121" s="203" cm="1">
        <f t="array" ref="T121">IF(T79&gt;e_ecolifetime_yr,0,($E$121-(S122*S79))*e_interestrate)</f>
        <v>0</v>
      </c>
      <c r="U121" s="203" cm="1">
        <f t="array" ref="U121">IF(U79&gt;e_ecolifetime_yr,0,($E$121-(T122*T79))*e_interestrate)</f>
        <v>0</v>
      </c>
      <c r="V121" s="203" cm="1">
        <f t="array" ref="V121">IF(V79&gt;e_ecolifetime_yr,0,($E$121-(U122*U79))*e_interestrate)</f>
        <v>0</v>
      </c>
      <c r="W121" s="203" cm="1">
        <f t="array" ref="W121">IF(W79&gt;e_ecolifetime_yr,0,($E$121-(V122*V79))*e_interestrate)</f>
        <v>0</v>
      </c>
      <c r="X121" s="203" cm="1">
        <f t="array" ref="X121">IF(X79&gt;e_ecolifetime_yr,0,($E$121-(W122*W79))*e_interestrate)</f>
        <v>0</v>
      </c>
      <c r="Y121" s="203" cm="1">
        <f t="array" ref="Y121">IF(Y79&gt;e_ecolifetime_yr,0,($E$121-(X122*X79))*e_interestrate)</f>
        <v>0</v>
      </c>
      <c r="Z121" s="203" cm="1">
        <f t="array" ref="Z121">IF(Z79&gt;e_ecolifetime_yr,0,($E$121-(Y122*Y79))*e_interestrate)</f>
        <v>0</v>
      </c>
      <c r="AA121" s="203" cm="1">
        <f t="array" ref="AA121">IF(AA79&gt;e_ecolifetime_yr,0,($E$121-(Z122*Z79))*e_interestrate)</f>
        <v>0</v>
      </c>
      <c r="AB121" s="203" cm="1">
        <f t="array" ref="AB121">IF(AB79&gt;e_ecolifetime_yr,0,($E$121-(AA122*AA79))*e_interestrate)</f>
        <v>0</v>
      </c>
      <c r="AC121" s="203" cm="1">
        <f t="array" ref="AC121">IF(AC79&gt;e_ecolifetime_yr,0,($E$121-(AB122*AB79))*e_interestrate)</f>
        <v>0</v>
      </c>
      <c r="AD121" s="203" cm="1">
        <f t="array" ref="AD121">IF(AD79&gt;e_ecolifetime_yr,0,($E$121-(AC122*AC79))*e_interestrate)</f>
        <v>0</v>
      </c>
      <c r="AE121" s="203" cm="1">
        <f t="array" ref="AE121">IF(AE79&gt;e_ecolifetime_yr,0,($E$121-(AD122*AD79))*e_interestrate)</f>
        <v>0</v>
      </c>
      <c r="AF121" s="203" cm="1">
        <f t="array" ref="AF121">IF(AF79&gt;e_ecolifetime_yr,0,($E$121-(AE122*AE79))*e_interestrate)</f>
        <v>0</v>
      </c>
      <c r="AG121" s="203" cm="1">
        <f t="array" ref="AG121">IF(AG79&gt;e_ecolifetime_yr,0,($E$121-(AF122*AF79))*e_interestrate)</f>
        <v>0</v>
      </c>
      <c r="AH121" s="203" cm="1">
        <f t="array" ref="AH121">IF(AH79&gt;e_ecolifetime_yr,0,($E$121-(AG122*AG79))*e_interestrate)</f>
        <v>0</v>
      </c>
      <c r="AI121" s="206" cm="1">
        <f t="array" ref="AI121">IF(AI79&gt;e_ecolifetime_yr,0,($E$121-(AH122*AH79))*e_interestrate)</f>
        <v>0</v>
      </c>
    </row>
    <row r="122" spans="2:35" x14ac:dyDescent="0.2">
      <c r="B122" s="44" t="s">
        <v>467</v>
      </c>
      <c r="C122" s="9"/>
      <c r="E122" s="203"/>
      <c r="F122" s="203" cm="1">
        <f t="array" ref="F122">IF(F79&gt;e_ecolifetime_yr,0,$E$121/e_ecolifetime_yr)</f>
        <v>0</v>
      </c>
      <c r="G122" s="203" cm="1">
        <f t="array" ref="G122">IF(G79&gt;e_ecolifetime_yr,0,$E$121/e_ecolifetime_yr)</f>
        <v>0</v>
      </c>
      <c r="H122" s="203" cm="1">
        <f t="array" ref="H122">IF(H79&gt;e_ecolifetime_yr,0,$E$121/e_ecolifetime_yr)</f>
        <v>0</v>
      </c>
      <c r="I122" s="203" cm="1">
        <f t="array" ref="I122">IF(I79&gt;e_ecolifetime_yr,0,$E$121/e_ecolifetime_yr)</f>
        <v>0</v>
      </c>
      <c r="J122" s="203" cm="1">
        <f t="array" ref="J122">IF(J79&gt;e_ecolifetime_yr,0,$E$121/e_ecolifetime_yr)</f>
        <v>0</v>
      </c>
      <c r="K122" s="203" cm="1">
        <f t="array" ref="K122">IF(K79&gt;e_ecolifetime_yr,0,$E$121/e_ecolifetime_yr)</f>
        <v>0</v>
      </c>
      <c r="L122" s="203" cm="1">
        <f t="array" ref="L122">IF(L79&gt;e_ecolifetime_yr,0,$E$121/e_ecolifetime_yr)</f>
        <v>0</v>
      </c>
      <c r="M122" s="203" cm="1">
        <f t="array" ref="M122">IF(M79&gt;e_ecolifetime_yr,0,$E$121/e_ecolifetime_yr)</f>
        <v>0</v>
      </c>
      <c r="N122" s="203" cm="1">
        <f t="array" ref="N122">IF(N79&gt;e_ecolifetime_yr,0,$E$121/e_ecolifetime_yr)</f>
        <v>0</v>
      </c>
      <c r="O122" s="203" cm="1">
        <f t="array" ref="O122">IF(O79&gt;e_ecolifetime_yr,0,$E$121/e_ecolifetime_yr)</f>
        <v>0</v>
      </c>
      <c r="P122" s="203" cm="1">
        <f t="array" ref="P122">IF(P79&gt;e_ecolifetime_yr,0,$E$121/e_ecolifetime_yr)</f>
        <v>0</v>
      </c>
      <c r="Q122" s="203" cm="1">
        <f t="array" ref="Q122">IF(Q79&gt;e_ecolifetime_yr,0,$E$121/e_ecolifetime_yr)</f>
        <v>0</v>
      </c>
      <c r="R122" s="203" cm="1">
        <f t="array" ref="R122">IF(R79&gt;e_ecolifetime_yr,0,$E$121/e_ecolifetime_yr)</f>
        <v>0</v>
      </c>
      <c r="S122" s="203" cm="1">
        <f t="array" ref="S122">IF(S79&gt;e_ecolifetime_yr,0,$E$121/e_ecolifetime_yr)</f>
        <v>0</v>
      </c>
      <c r="T122" s="203" cm="1">
        <f t="array" ref="T122">IF(T79&gt;e_ecolifetime_yr,0,$E$121/e_ecolifetime_yr)</f>
        <v>0</v>
      </c>
      <c r="U122" s="203" cm="1">
        <f t="array" ref="U122">IF(U79&gt;e_ecolifetime_yr,0,$E$121/e_ecolifetime_yr)</f>
        <v>0</v>
      </c>
      <c r="V122" s="203" cm="1">
        <f t="array" ref="V122">IF(V79&gt;e_ecolifetime_yr,0,$E$121/e_ecolifetime_yr)</f>
        <v>0</v>
      </c>
      <c r="W122" s="203" cm="1">
        <f t="array" ref="W122">IF(W79&gt;e_ecolifetime_yr,0,$E$121/e_ecolifetime_yr)</f>
        <v>0</v>
      </c>
      <c r="X122" s="203" cm="1">
        <f t="array" ref="X122">IF(X79&gt;e_ecolifetime_yr,0,$E$121/e_ecolifetime_yr)</f>
        <v>0</v>
      </c>
      <c r="Y122" s="203" cm="1">
        <f t="array" ref="Y122">IF(Y79&gt;e_ecolifetime_yr,0,$E$121/e_ecolifetime_yr)</f>
        <v>0</v>
      </c>
      <c r="Z122" s="203" cm="1">
        <f t="array" ref="Z122">IF(Z79&gt;e_ecolifetime_yr,0,$E$121/e_ecolifetime_yr)</f>
        <v>0</v>
      </c>
      <c r="AA122" s="203" cm="1">
        <f t="array" ref="AA122">IF(AA79&gt;e_ecolifetime_yr,0,$E$121/e_ecolifetime_yr)</f>
        <v>0</v>
      </c>
      <c r="AB122" s="203" cm="1">
        <f t="array" ref="AB122">IF(AB79&gt;e_ecolifetime_yr,0,$E$121/e_ecolifetime_yr)</f>
        <v>0</v>
      </c>
      <c r="AC122" s="203" cm="1">
        <f t="array" ref="AC122">IF(AC79&gt;e_ecolifetime_yr,0,$E$121/e_ecolifetime_yr)</f>
        <v>0</v>
      </c>
      <c r="AD122" s="203" cm="1">
        <f t="array" ref="AD122">IF(AD79&gt;e_ecolifetime_yr,0,$E$121/e_ecolifetime_yr)</f>
        <v>0</v>
      </c>
      <c r="AE122" s="203" cm="1">
        <f t="array" ref="AE122">IF(AE79&gt;e_ecolifetime_yr,0,$E$121/e_ecolifetime_yr)</f>
        <v>0</v>
      </c>
      <c r="AF122" s="203" cm="1">
        <f t="array" ref="AF122">IF(AF79&gt;e_ecolifetime_yr,0,$E$121/e_ecolifetime_yr)</f>
        <v>0</v>
      </c>
      <c r="AG122" s="203" cm="1">
        <f t="array" ref="AG122">IF(AG79&gt;e_ecolifetime_yr,0,$E$121/e_ecolifetime_yr)</f>
        <v>0</v>
      </c>
      <c r="AH122" s="203" cm="1">
        <f t="array" ref="AH122">IF(AH79&gt;e_ecolifetime_yr,0,$E$121/e_ecolifetime_yr)</f>
        <v>0</v>
      </c>
      <c r="AI122" s="206" cm="1">
        <f t="array" ref="AI122">IF(AI79&gt;e_ecolifetime_yr,0,$E$121/e_ecolifetime_yr)</f>
        <v>0</v>
      </c>
    </row>
    <row r="123" spans="2:35" x14ac:dyDescent="0.2">
      <c r="B123" s="211" t="s">
        <v>468</v>
      </c>
      <c r="C123" s="47"/>
      <c r="D123" s="47"/>
      <c r="E123" s="212"/>
      <c r="F123" s="212">
        <f>IF(F114-F120&gt;0,F114-F120,0)</f>
        <v>0</v>
      </c>
      <c r="G123" s="212">
        <f t="shared" ref="G123:AI123" si="5">IF(G114-G120&gt;0,G114-G120,0)</f>
        <v>0</v>
      </c>
      <c r="H123" s="212">
        <f t="shared" si="5"/>
        <v>0</v>
      </c>
      <c r="I123" s="212">
        <f t="shared" si="5"/>
        <v>0</v>
      </c>
      <c r="J123" s="212">
        <f t="shared" si="5"/>
        <v>0</v>
      </c>
      <c r="K123" s="212">
        <f t="shared" si="5"/>
        <v>0</v>
      </c>
      <c r="L123" s="212">
        <f t="shared" si="5"/>
        <v>0</v>
      </c>
      <c r="M123" s="212">
        <f t="shared" si="5"/>
        <v>0</v>
      </c>
      <c r="N123" s="212">
        <f t="shared" si="5"/>
        <v>0</v>
      </c>
      <c r="O123" s="212">
        <f t="shared" si="5"/>
        <v>0</v>
      </c>
      <c r="P123" s="212">
        <f t="shared" si="5"/>
        <v>0</v>
      </c>
      <c r="Q123" s="212">
        <f t="shared" si="5"/>
        <v>0</v>
      </c>
      <c r="R123" s="212">
        <f t="shared" si="5"/>
        <v>0</v>
      </c>
      <c r="S123" s="212">
        <f t="shared" si="5"/>
        <v>0</v>
      </c>
      <c r="T123" s="212">
        <f t="shared" si="5"/>
        <v>0</v>
      </c>
      <c r="U123" s="212">
        <f t="shared" si="5"/>
        <v>0</v>
      </c>
      <c r="V123" s="212">
        <f t="shared" si="5"/>
        <v>0</v>
      </c>
      <c r="W123" s="212">
        <f t="shared" si="5"/>
        <v>0</v>
      </c>
      <c r="X123" s="212">
        <f t="shared" si="5"/>
        <v>0</v>
      </c>
      <c r="Y123" s="212">
        <f t="shared" si="5"/>
        <v>0</v>
      </c>
      <c r="Z123" s="212">
        <f t="shared" si="5"/>
        <v>0</v>
      </c>
      <c r="AA123" s="212">
        <f t="shared" si="5"/>
        <v>0</v>
      </c>
      <c r="AB123" s="212">
        <f t="shared" si="5"/>
        <v>0</v>
      </c>
      <c r="AC123" s="212">
        <f t="shared" si="5"/>
        <v>0</v>
      </c>
      <c r="AD123" s="212">
        <f t="shared" si="5"/>
        <v>0</v>
      </c>
      <c r="AE123" s="212">
        <f t="shared" si="5"/>
        <v>0</v>
      </c>
      <c r="AF123" s="212">
        <f t="shared" si="5"/>
        <v>0</v>
      </c>
      <c r="AG123" s="212">
        <f t="shared" si="5"/>
        <v>0</v>
      </c>
      <c r="AH123" s="212">
        <f t="shared" si="5"/>
        <v>0</v>
      </c>
      <c r="AI123" s="213">
        <f t="shared" si="5"/>
        <v>0</v>
      </c>
    </row>
    <row r="124" spans="2:35" x14ac:dyDescent="0.2">
      <c r="B124" s="44" t="s">
        <v>469</v>
      </c>
      <c r="C124" s="9"/>
      <c r="D124" s="9"/>
      <c r="E124" s="208"/>
      <c r="F124" s="208">
        <f>F114-F121-F122</f>
        <v>0</v>
      </c>
      <c r="G124" s="208">
        <f t="shared" ref="G124:AI124" si="6">G114-G121-G122</f>
        <v>0</v>
      </c>
      <c r="H124" s="208">
        <f t="shared" si="6"/>
        <v>0</v>
      </c>
      <c r="I124" s="208">
        <f t="shared" si="6"/>
        <v>0</v>
      </c>
      <c r="J124" s="208">
        <f t="shared" si="6"/>
        <v>0</v>
      </c>
      <c r="K124" s="208">
        <f t="shared" si="6"/>
        <v>0</v>
      </c>
      <c r="L124" s="208">
        <f t="shared" si="6"/>
        <v>0</v>
      </c>
      <c r="M124" s="208">
        <f t="shared" si="6"/>
        <v>0</v>
      </c>
      <c r="N124" s="208">
        <f t="shared" si="6"/>
        <v>0</v>
      </c>
      <c r="O124" s="208">
        <f t="shared" si="6"/>
        <v>0</v>
      </c>
      <c r="P124" s="208">
        <f t="shared" si="6"/>
        <v>0</v>
      </c>
      <c r="Q124" s="208">
        <f t="shared" si="6"/>
        <v>0</v>
      </c>
      <c r="R124" s="208">
        <f t="shared" si="6"/>
        <v>0</v>
      </c>
      <c r="S124" s="208">
        <f t="shared" si="6"/>
        <v>0</v>
      </c>
      <c r="T124" s="208">
        <f t="shared" si="6"/>
        <v>0</v>
      </c>
      <c r="U124" s="208">
        <f t="shared" si="6"/>
        <v>0</v>
      </c>
      <c r="V124" s="208">
        <f t="shared" si="6"/>
        <v>0</v>
      </c>
      <c r="W124" s="208">
        <f t="shared" si="6"/>
        <v>0</v>
      </c>
      <c r="X124" s="208">
        <f t="shared" si="6"/>
        <v>0</v>
      </c>
      <c r="Y124" s="208">
        <f t="shared" si="6"/>
        <v>0</v>
      </c>
      <c r="Z124" s="208">
        <f t="shared" si="6"/>
        <v>0</v>
      </c>
      <c r="AA124" s="208">
        <f t="shared" si="6"/>
        <v>0</v>
      </c>
      <c r="AB124" s="208">
        <f t="shared" si="6"/>
        <v>0</v>
      </c>
      <c r="AC124" s="208">
        <f t="shared" si="6"/>
        <v>0</v>
      </c>
      <c r="AD124" s="208">
        <f t="shared" si="6"/>
        <v>0</v>
      </c>
      <c r="AE124" s="208">
        <f t="shared" si="6"/>
        <v>0</v>
      </c>
      <c r="AF124" s="208">
        <f t="shared" si="6"/>
        <v>0</v>
      </c>
      <c r="AG124" s="208">
        <f t="shared" si="6"/>
        <v>0</v>
      </c>
      <c r="AH124" s="208">
        <f t="shared" si="6"/>
        <v>0</v>
      </c>
      <c r="AI124" s="209">
        <f t="shared" si="6"/>
        <v>0</v>
      </c>
    </row>
    <row r="125" spans="2:35" x14ac:dyDescent="0.2">
      <c r="B125" s="46" t="s">
        <v>470</v>
      </c>
      <c r="C125" s="11"/>
      <c r="D125" s="7"/>
      <c r="E125" s="95"/>
      <c r="F125" s="95" cm="1">
        <f t="array" ref="F125">F123*e_taxrate_BE</f>
        <v>0</v>
      </c>
      <c r="G125" s="95" cm="1">
        <f t="array" ref="G125">G123*e_taxrate_BE</f>
        <v>0</v>
      </c>
      <c r="H125" s="95" cm="1">
        <f t="array" ref="H125">H123*e_taxrate_BE</f>
        <v>0</v>
      </c>
      <c r="I125" s="95" cm="1">
        <f t="array" ref="I125">I123*e_taxrate_BE</f>
        <v>0</v>
      </c>
      <c r="J125" s="95" cm="1">
        <f t="array" ref="J125">J123*e_taxrate_BE</f>
        <v>0</v>
      </c>
      <c r="K125" s="95" cm="1">
        <f t="array" ref="K125">K123*e_taxrate_BE</f>
        <v>0</v>
      </c>
      <c r="L125" s="95" cm="1">
        <f t="array" ref="L125">L123*e_taxrate_BE</f>
        <v>0</v>
      </c>
      <c r="M125" s="95" cm="1">
        <f t="array" ref="M125">M123*e_taxrate_BE</f>
        <v>0</v>
      </c>
      <c r="N125" s="95" cm="1">
        <f t="array" ref="N125">N123*e_taxrate_BE</f>
        <v>0</v>
      </c>
      <c r="O125" s="95" cm="1">
        <f t="array" ref="O125">O123*e_taxrate_BE</f>
        <v>0</v>
      </c>
      <c r="P125" s="95" cm="1">
        <f t="array" ref="P125">P123*e_taxrate_BE</f>
        <v>0</v>
      </c>
      <c r="Q125" s="95" cm="1">
        <f t="array" ref="Q125">Q123*e_taxrate_BE</f>
        <v>0</v>
      </c>
      <c r="R125" s="95" cm="1">
        <f t="array" ref="R125">R123*e_taxrate_BE</f>
        <v>0</v>
      </c>
      <c r="S125" s="95" cm="1">
        <f t="array" ref="S125">S123*e_taxrate_BE</f>
        <v>0</v>
      </c>
      <c r="T125" s="95" cm="1">
        <f t="array" ref="T125">T123*e_taxrate_BE</f>
        <v>0</v>
      </c>
      <c r="U125" s="95" cm="1">
        <f t="array" ref="U125">U123*e_taxrate_BE</f>
        <v>0</v>
      </c>
      <c r="V125" s="95" cm="1">
        <f t="array" ref="V125">V123*e_taxrate_BE</f>
        <v>0</v>
      </c>
      <c r="W125" s="95" cm="1">
        <f t="array" ref="W125">W123*e_taxrate_BE</f>
        <v>0</v>
      </c>
      <c r="X125" s="95" cm="1">
        <f t="array" ref="X125">X123*e_taxrate_BE</f>
        <v>0</v>
      </c>
      <c r="Y125" s="95" cm="1">
        <f t="array" ref="Y125">Y123*e_taxrate_BE</f>
        <v>0</v>
      </c>
      <c r="Z125" s="95" cm="1">
        <f t="array" ref="Z125">Z123*e_taxrate_BE</f>
        <v>0</v>
      </c>
      <c r="AA125" s="95" cm="1">
        <f t="array" ref="AA125">AA123*e_taxrate_BE</f>
        <v>0</v>
      </c>
      <c r="AB125" s="95" cm="1">
        <f t="array" ref="AB125">AB123*e_taxrate_BE</f>
        <v>0</v>
      </c>
      <c r="AC125" s="95" cm="1">
        <f t="array" ref="AC125">AC123*e_taxrate_BE</f>
        <v>0</v>
      </c>
      <c r="AD125" s="95" cm="1">
        <f t="array" ref="AD125">AD123*e_taxrate_BE</f>
        <v>0</v>
      </c>
      <c r="AE125" s="95" cm="1">
        <f t="array" ref="AE125">AE123*e_taxrate_BE</f>
        <v>0</v>
      </c>
      <c r="AF125" s="95" cm="1">
        <f t="array" ref="AF125">AF123*e_taxrate_BE</f>
        <v>0</v>
      </c>
      <c r="AG125" s="95" cm="1">
        <f t="array" ref="AG125">AG123*e_taxrate_BE</f>
        <v>0</v>
      </c>
      <c r="AH125" s="95" cm="1">
        <f t="array" ref="AH125">AH123*e_taxrate_BE</f>
        <v>0</v>
      </c>
      <c r="AI125" s="210" cm="1">
        <f t="array" ref="AI125">AI123*e_taxrate_BE</f>
        <v>0</v>
      </c>
    </row>
    <row r="126" spans="2:35" x14ac:dyDescent="0.2">
      <c r="B126" s="44" t="s">
        <v>471</v>
      </c>
      <c r="C126" s="9"/>
      <c r="D126" s="9"/>
      <c r="E126" s="208">
        <f>-E80+E121</f>
        <v>0</v>
      </c>
      <c r="F126" s="208">
        <f>IF(F124&gt;0,F124-F125,F124)</f>
        <v>0</v>
      </c>
      <c r="G126" s="208">
        <f t="shared" ref="G126:AI126" si="7">IF(G124&gt;0,G124-G125,G124)</f>
        <v>0</v>
      </c>
      <c r="H126" s="208">
        <f t="shared" si="7"/>
        <v>0</v>
      </c>
      <c r="I126" s="208">
        <f t="shared" si="7"/>
        <v>0</v>
      </c>
      <c r="J126" s="208">
        <f t="shared" si="7"/>
        <v>0</v>
      </c>
      <c r="K126" s="208">
        <f t="shared" si="7"/>
        <v>0</v>
      </c>
      <c r="L126" s="208">
        <f t="shared" si="7"/>
        <v>0</v>
      </c>
      <c r="M126" s="208">
        <f t="shared" si="7"/>
        <v>0</v>
      </c>
      <c r="N126" s="208">
        <f t="shared" si="7"/>
        <v>0</v>
      </c>
      <c r="O126" s="208">
        <f t="shared" si="7"/>
        <v>0</v>
      </c>
      <c r="P126" s="208">
        <f t="shared" si="7"/>
        <v>0</v>
      </c>
      <c r="Q126" s="208">
        <f t="shared" si="7"/>
        <v>0</v>
      </c>
      <c r="R126" s="208">
        <f t="shared" si="7"/>
        <v>0</v>
      </c>
      <c r="S126" s="208">
        <f t="shared" si="7"/>
        <v>0</v>
      </c>
      <c r="T126" s="208">
        <f t="shared" si="7"/>
        <v>0</v>
      </c>
      <c r="U126" s="208">
        <f t="shared" si="7"/>
        <v>0</v>
      </c>
      <c r="V126" s="208">
        <f t="shared" si="7"/>
        <v>0</v>
      </c>
      <c r="W126" s="208">
        <f t="shared" si="7"/>
        <v>0</v>
      </c>
      <c r="X126" s="208">
        <f t="shared" si="7"/>
        <v>0</v>
      </c>
      <c r="Y126" s="208">
        <f t="shared" si="7"/>
        <v>0</v>
      </c>
      <c r="Z126" s="208">
        <f t="shared" si="7"/>
        <v>0</v>
      </c>
      <c r="AA126" s="208">
        <f t="shared" si="7"/>
        <v>0</v>
      </c>
      <c r="AB126" s="208">
        <f t="shared" si="7"/>
        <v>0</v>
      </c>
      <c r="AC126" s="208">
        <f t="shared" si="7"/>
        <v>0</v>
      </c>
      <c r="AD126" s="208">
        <f t="shared" si="7"/>
        <v>0</v>
      </c>
      <c r="AE126" s="208">
        <f t="shared" si="7"/>
        <v>0</v>
      </c>
      <c r="AF126" s="208">
        <f t="shared" si="7"/>
        <v>0</v>
      </c>
      <c r="AG126" s="208">
        <f t="shared" si="7"/>
        <v>0</v>
      </c>
      <c r="AH126" s="208">
        <f t="shared" si="7"/>
        <v>0</v>
      </c>
      <c r="AI126" s="209">
        <f t="shared" si="7"/>
        <v>0</v>
      </c>
    </row>
    <row r="127" spans="2:35" x14ac:dyDescent="0.2">
      <c r="B127" s="46" t="s">
        <v>472</v>
      </c>
      <c r="C127" s="11"/>
      <c r="D127" s="7"/>
      <c r="E127" s="95"/>
      <c r="F127" s="95" cm="1">
        <f t="array" ref="F127">F126/(1+e_WACC)^F79</f>
        <v>0</v>
      </c>
      <c r="G127" s="95" cm="1">
        <f t="array" ref="G127">G126/(1+e_WACC)^G79</f>
        <v>0</v>
      </c>
      <c r="H127" s="95" cm="1">
        <f t="array" ref="H127">H126/(1+e_WACC)^H79</f>
        <v>0</v>
      </c>
      <c r="I127" s="95" cm="1">
        <f t="array" ref="I127">I126/(1+e_WACC)^I79</f>
        <v>0</v>
      </c>
      <c r="J127" s="95" cm="1">
        <f t="array" ref="J127">J126/(1+e_WACC)^J79</f>
        <v>0</v>
      </c>
      <c r="K127" s="95" cm="1">
        <f t="array" ref="K127">K126/(1+e_WACC)^K79</f>
        <v>0</v>
      </c>
      <c r="L127" s="95" cm="1">
        <f t="array" ref="L127">L126/(1+e_WACC)^L79</f>
        <v>0</v>
      </c>
      <c r="M127" s="95" cm="1">
        <f t="array" ref="M127">M126/(1+e_WACC)^M79</f>
        <v>0</v>
      </c>
      <c r="N127" s="95" cm="1">
        <f t="array" ref="N127">N126/(1+e_WACC)^N79</f>
        <v>0</v>
      </c>
      <c r="O127" s="95" cm="1">
        <f t="array" ref="O127">O126/(1+e_WACC)^O79</f>
        <v>0</v>
      </c>
      <c r="P127" s="95" cm="1">
        <f t="array" ref="P127">P126/(1+e_WACC)^P79</f>
        <v>0</v>
      </c>
      <c r="Q127" s="95" cm="1">
        <f t="array" ref="Q127">Q126/(1+e_WACC)^Q79</f>
        <v>0</v>
      </c>
      <c r="R127" s="95" cm="1">
        <f t="array" ref="R127">R126/(1+e_WACC)^R79</f>
        <v>0</v>
      </c>
      <c r="S127" s="95" cm="1">
        <f t="array" ref="S127">S126/(1+e_WACC)^S79</f>
        <v>0</v>
      </c>
      <c r="T127" s="95" cm="1">
        <f t="array" ref="T127">T126/(1+e_WACC)^T79</f>
        <v>0</v>
      </c>
      <c r="U127" s="95" cm="1">
        <f t="array" ref="U127">U126/(1+e_WACC)^U79</f>
        <v>0</v>
      </c>
      <c r="V127" s="95" cm="1">
        <f t="array" ref="V127">V126/(1+e_WACC)^V79</f>
        <v>0</v>
      </c>
      <c r="W127" s="95" cm="1">
        <f t="array" ref="W127">W126/(1+e_WACC)^W79</f>
        <v>0</v>
      </c>
      <c r="X127" s="95" cm="1">
        <f t="array" ref="X127">X126/(1+e_WACC)^X79</f>
        <v>0</v>
      </c>
      <c r="Y127" s="95" cm="1">
        <f t="array" ref="Y127">Y126/(1+e_WACC)^Y79</f>
        <v>0</v>
      </c>
      <c r="Z127" s="95" cm="1">
        <f t="array" ref="Z127">Z126/(1+e_WACC)^Z79</f>
        <v>0</v>
      </c>
      <c r="AA127" s="95" cm="1">
        <f t="array" ref="AA127">AA126/(1+e_WACC)^AA79</f>
        <v>0</v>
      </c>
      <c r="AB127" s="95" cm="1">
        <f t="array" ref="AB127">AB126/(1+e_WACC)^AB79</f>
        <v>0</v>
      </c>
      <c r="AC127" s="95" cm="1">
        <f t="array" ref="AC127">AC126/(1+e_WACC)^AC79</f>
        <v>0</v>
      </c>
      <c r="AD127" s="95" cm="1">
        <f t="array" ref="AD127">AD126/(1+e_WACC)^AD79</f>
        <v>0</v>
      </c>
      <c r="AE127" s="95" cm="1">
        <f t="array" ref="AE127">AE126/(1+e_WACC)^AE79</f>
        <v>0</v>
      </c>
      <c r="AF127" s="95" cm="1">
        <f t="array" ref="AF127">AF126/(1+e_WACC)^AF79</f>
        <v>0</v>
      </c>
      <c r="AG127" s="95" cm="1">
        <f t="array" ref="AG127">AG126/(1+e_WACC)^AG79</f>
        <v>0</v>
      </c>
      <c r="AH127" s="95" cm="1">
        <f t="array" ref="AH127">AH126/(1+e_WACC)^AH79</f>
        <v>0</v>
      </c>
      <c r="AI127" s="210" cm="1">
        <f t="array" ref="AI127">AI126/(1+e_WACC)^AI79</f>
        <v>0</v>
      </c>
    </row>
    <row r="128" spans="2:35" x14ac:dyDescent="0.2">
      <c r="B128" s="44" t="s">
        <v>473</v>
      </c>
      <c r="C128" s="9"/>
      <c r="E128" s="203"/>
      <c r="F128" s="203">
        <f>E126+F126</f>
        <v>0</v>
      </c>
      <c r="G128" s="203">
        <f>F128+G126</f>
        <v>0</v>
      </c>
      <c r="H128" s="203">
        <f>G128+H126</f>
        <v>0</v>
      </c>
      <c r="I128" s="203">
        <f t="shared" ref="I128:AI129" si="8">H128+I126</f>
        <v>0</v>
      </c>
      <c r="J128" s="203">
        <f t="shared" si="8"/>
        <v>0</v>
      </c>
      <c r="K128" s="203">
        <f t="shared" si="8"/>
        <v>0</v>
      </c>
      <c r="L128" s="203">
        <f t="shared" si="8"/>
        <v>0</v>
      </c>
      <c r="M128" s="203">
        <f t="shared" si="8"/>
        <v>0</v>
      </c>
      <c r="N128" s="203">
        <f t="shared" si="8"/>
        <v>0</v>
      </c>
      <c r="O128" s="203">
        <f t="shared" si="8"/>
        <v>0</v>
      </c>
      <c r="P128" s="203">
        <f t="shared" si="8"/>
        <v>0</v>
      </c>
      <c r="Q128" s="203">
        <f t="shared" si="8"/>
        <v>0</v>
      </c>
      <c r="R128" s="203">
        <f t="shared" si="8"/>
        <v>0</v>
      </c>
      <c r="S128" s="203">
        <f t="shared" si="8"/>
        <v>0</v>
      </c>
      <c r="T128" s="203">
        <f t="shared" si="8"/>
        <v>0</v>
      </c>
      <c r="U128" s="203">
        <f t="shared" si="8"/>
        <v>0</v>
      </c>
      <c r="V128" s="203">
        <f t="shared" si="8"/>
        <v>0</v>
      </c>
      <c r="W128" s="203">
        <f t="shared" si="8"/>
        <v>0</v>
      </c>
      <c r="X128" s="203">
        <f t="shared" si="8"/>
        <v>0</v>
      </c>
      <c r="Y128" s="203">
        <f t="shared" si="8"/>
        <v>0</v>
      </c>
      <c r="Z128" s="203">
        <f t="shared" si="8"/>
        <v>0</v>
      </c>
      <c r="AA128" s="203">
        <f t="shared" si="8"/>
        <v>0</v>
      </c>
      <c r="AB128" s="203">
        <f t="shared" si="8"/>
        <v>0</v>
      </c>
      <c r="AC128" s="203">
        <f t="shared" si="8"/>
        <v>0</v>
      </c>
      <c r="AD128" s="203">
        <f t="shared" si="8"/>
        <v>0</v>
      </c>
      <c r="AE128" s="203">
        <f t="shared" si="8"/>
        <v>0</v>
      </c>
      <c r="AF128" s="203">
        <f t="shared" si="8"/>
        <v>0</v>
      </c>
      <c r="AG128" s="203">
        <f t="shared" si="8"/>
        <v>0</v>
      </c>
      <c r="AH128" s="203">
        <f t="shared" si="8"/>
        <v>0</v>
      </c>
      <c r="AI128" s="206">
        <f t="shared" si="8"/>
        <v>0</v>
      </c>
    </row>
    <row r="129" spans="2:35" x14ac:dyDescent="0.2">
      <c r="B129" s="44" t="s">
        <v>474</v>
      </c>
      <c r="C129" s="9"/>
      <c r="E129" s="203"/>
      <c r="F129" s="203">
        <f>E126+F127</f>
        <v>0</v>
      </c>
      <c r="G129" s="203">
        <f>F129+G127</f>
        <v>0</v>
      </c>
      <c r="H129" s="203">
        <f>G129+H127</f>
        <v>0</v>
      </c>
      <c r="I129" s="203">
        <f t="shared" si="8"/>
        <v>0</v>
      </c>
      <c r="J129" s="203">
        <f t="shared" si="8"/>
        <v>0</v>
      </c>
      <c r="K129" s="203">
        <f t="shared" si="8"/>
        <v>0</v>
      </c>
      <c r="L129" s="203">
        <f t="shared" si="8"/>
        <v>0</v>
      </c>
      <c r="M129" s="203">
        <f t="shared" si="8"/>
        <v>0</v>
      </c>
      <c r="N129" s="203">
        <f t="shared" si="8"/>
        <v>0</v>
      </c>
      <c r="O129" s="203">
        <f t="shared" si="8"/>
        <v>0</v>
      </c>
      <c r="P129" s="203">
        <f t="shared" si="8"/>
        <v>0</v>
      </c>
      <c r="Q129" s="203">
        <f t="shared" si="8"/>
        <v>0</v>
      </c>
      <c r="R129" s="203">
        <f t="shared" si="8"/>
        <v>0</v>
      </c>
      <c r="S129" s="203">
        <f t="shared" si="8"/>
        <v>0</v>
      </c>
      <c r="T129" s="203">
        <f t="shared" si="8"/>
        <v>0</v>
      </c>
      <c r="U129" s="203">
        <f t="shared" si="8"/>
        <v>0</v>
      </c>
      <c r="V129" s="203">
        <f t="shared" si="8"/>
        <v>0</v>
      </c>
      <c r="W129" s="203">
        <f t="shared" si="8"/>
        <v>0</v>
      </c>
      <c r="X129" s="203">
        <f t="shared" si="8"/>
        <v>0</v>
      </c>
      <c r="Y129" s="203">
        <f t="shared" si="8"/>
        <v>0</v>
      </c>
      <c r="Z129" s="203">
        <f t="shared" si="8"/>
        <v>0</v>
      </c>
      <c r="AA129" s="203">
        <f t="shared" si="8"/>
        <v>0</v>
      </c>
      <c r="AB129" s="203">
        <f t="shared" si="8"/>
        <v>0</v>
      </c>
      <c r="AC129" s="203">
        <f t="shared" si="8"/>
        <v>0</v>
      </c>
      <c r="AD129" s="203">
        <f t="shared" si="8"/>
        <v>0</v>
      </c>
      <c r="AE129" s="203">
        <f t="shared" si="8"/>
        <v>0</v>
      </c>
      <c r="AF129" s="203">
        <f t="shared" si="8"/>
        <v>0</v>
      </c>
      <c r="AG129" s="203">
        <f t="shared" si="8"/>
        <v>0</v>
      </c>
      <c r="AH129" s="203">
        <f t="shared" si="8"/>
        <v>0</v>
      </c>
      <c r="AI129" s="206">
        <f t="shared" si="8"/>
        <v>0</v>
      </c>
    </row>
    <row r="130" spans="2:35" x14ac:dyDescent="0.2">
      <c r="B130" s="44" t="s">
        <v>190</v>
      </c>
      <c r="C130" s="9"/>
      <c r="F130" s="1" t="e">
        <f>IF(F128&lt;0,1,-E126/F126)</f>
        <v>#DIV/0!</v>
      </c>
      <c r="G130" s="1" t="e">
        <f>IF(G128&lt;0,1,-F128/G126)</f>
        <v>#DIV/0!</v>
      </c>
      <c r="H130" s="1" t="e">
        <f>IF(H128&lt;0,1,-G128/H126)</f>
        <v>#DIV/0!</v>
      </c>
      <c r="I130" s="1" t="e">
        <f t="shared" ref="I130:AI131" si="9">IF(I128&lt;0,1,-H128/I126)</f>
        <v>#DIV/0!</v>
      </c>
      <c r="J130" s="1" t="e">
        <f t="shared" si="9"/>
        <v>#DIV/0!</v>
      </c>
      <c r="K130" s="1" t="e">
        <f t="shared" si="9"/>
        <v>#DIV/0!</v>
      </c>
      <c r="L130" s="1" t="e">
        <f t="shared" si="9"/>
        <v>#DIV/0!</v>
      </c>
      <c r="M130" s="1" t="e">
        <f t="shared" si="9"/>
        <v>#DIV/0!</v>
      </c>
      <c r="N130" s="1" t="e">
        <f t="shared" si="9"/>
        <v>#DIV/0!</v>
      </c>
      <c r="O130" s="1" t="e">
        <f t="shared" si="9"/>
        <v>#DIV/0!</v>
      </c>
      <c r="P130" s="1" t="e">
        <f t="shared" si="9"/>
        <v>#DIV/0!</v>
      </c>
      <c r="Q130" s="1" t="e">
        <f t="shared" si="9"/>
        <v>#DIV/0!</v>
      </c>
      <c r="R130" s="1" t="e">
        <f t="shared" si="9"/>
        <v>#DIV/0!</v>
      </c>
      <c r="S130" s="1" t="e">
        <f t="shared" si="9"/>
        <v>#DIV/0!</v>
      </c>
      <c r="T130" s="1" t="e">
        <f t="shared" si="9"/>
        <v>#DIV/0!</v>
      </c>
      <c r="U130" s="1" t="e">
        <f t="shared" si="9"/>
        <v>#DIV/0!</v>
      </c>
      <c r="V130" s="1" t="e">
        <f t="shared" si="9"/>
        <v>#DIV/0!</v>
      </c>
      <c r="W130" s="1" t="e">
        <f t="shared" si="9"/>
        <v>#DIV/0!</v>
      </c>
      <c r="X130" s="1" t="e">
        <f t="shared" si="9"/>
        <v>#DIV/0!</v>
      </c>
      <c r="Y130" s="1" t="e">
        <f t="shared" si="9"/>
        <v>#DIV/0!</v>
      </c>
      <c r="Z130" s="1" t="e">
        <f t="shared" si="9"/>
        <v>#DIV/0!</v>
      </c>
      <c r="AA130" s="1" t="e">
        <f t="shared" si="9"/>
        <v>#DIV/0!</v>
      </c>
      <c r="AB130" s="1" t="e">
        <f t="shared" si="9"/>
        <v>#DIV/0!</v>
      </c>
      <c r="AC130" s="1" t="e">
        <f t="shared" si="9"/>
        <v>#DIV/0!</v>
      </c>
      <c r="AD130" s="1" t="e">
        <f t="shared" si="9"/>
        <v>#DIV/0!</v>
      </c>
      <c r="AE130" s="1" t="e">
        <f t="shared" si="9"/>
        <v>#DIV/0!</v>
      </c>
      <c r="AF130" s="1" t="e">
        <f t="shared" si="9"/>
        <v>#DIV/0!</v>
      </c>
      <c r="AG130" s="1" t="e">
        <f t="shared" si="9"/>
        <v>#DIV/0!</v>
      </c>
      <c r="AH130" s="1" t="e">
        <f t="shared" si="9"/>
        <v>#DIV/0!</v>
      </c>
      <c r="AI130" s="48" t="e">
        <f t="shared" si="9"/>
        <v>#DIV/0!</v>
      </c>
    </row>
    <row r="131" spans="2:35" x14ac:dyDescent="0.2">
      <c r="B131" s="46" t="s">
        <v>192</v>
      </c>
      <c r="C131" s="11"/>
      <c r="D131" s="7"/>
      <c r="E131" s="7"/>
      <c r="F131" s="7" t="e">
        <f>IF(F129&lt;0,1,-E126/F127)</f>
        <v>#DIV/0!</v>
      </c>
      <c r="G131" s="7" t="e">
        <f>IF(G129&lt;0,1,-F129/G127)</f>
        <v>#DIV/0!</v>
      </c>
      <c r="H131" s="7" t="e">
        <f>IF(H129&lt;0,1,-G129/H127)</f>
        <v>#DIV/0!</v>
      </c>
      <c r="I131" s="7" t="e">
        <f t="shared" si="9"/>
        <v>#DIV/0!</v>
      </c>
      <c r="J131" s="7" t="e">
        <f t="shared" si="9"/>
        <v>#DIV/0!</v>
      </c>
      <c r="K131" s="7" t="e">
        <f t="shared" si="9"/>
        <v>#DIV/0!</v>
      </c>
      <c r="L131" s="7" t="e">
        <f t="shared" si="9"/>
        <v>#DIV/0!</v>
      </c>
      <c r="M131" s="7" t="e">
        <f t="shared" si="9"/>
        <v>#DIV/0!</v>
      </c>
      <c r="N131" s="7" t="e">
        <f t="shared" si="9"/>
        <v>#DIV/0!</v>
      </c>
      <c r="O131" s="7" t="e">
        <f t="shared" si="9"/>
        <v>#DIV/0!</v>
      </c>
      <c r="P131" s="7" t="e">
        <f t="shared" si="9"/>
        <v>#DIV/0!</v>
      </c>
      <c r="Q131" s="7" t="e">
        <f t="shared" si="9"/>
        <v>#DIV/0!</v>
      </c>
      <c r="R131" s="7" t="e">
        <f t="shared" si="9"/>
        <v>#DIV/0!</v>
      </c>
      <c r="S131" s="7" t="e">
        <f t="shared" si="9"/>
        <v>#DIV/0!</v>
      </c>
      <c r="T131" s="7" t="e">
        <f t="shared" si="9"/>
        <v>#DIV/0!</v>
      </c>
      <c r="U131" s="7" t="e">
        <f t="shared" si="9"/>
        <v>#DIV/0!</v>
      </c>
      <c r="V131" s="7" t="e">
        <f t="shared" si="9"/>
        <v>#DIV/0!</v>
      </c>
      <c r="W131" s="7" t="e">
        <f t="shared" si="9"/>
        <v>#DIV/0!</v>
      </c>
      <c r="X131" s="7" t="e">
        <f t="shared" si="9"/>
        <v>#DIV/0!</v>
      </c>
      <c r="Y131" s="7" t="e">
        <f t="shared" si="9"/>
        <v>#DIV/0!</v>
      </c>
      <c r="Z131" s="7" t="e">
        <f t="shared" si="9"/>
        <v>#DIV/0!</v>
      </c>
      <c r="AA131" s="7" t="e">
        <f t="shared" si="9"/>
        <v>#DIV/0!</v>
      </c>
      <c r="AB131" s="7" t="e">
        <f t="shared" si="9"/>
        <v>#DIV/0!</v>
      </c>
      <c r="AC131" s="7" t="e">
        <f t="shared" si="9"/>
        <v>#DIV/0!</v>
      </c>
      <c r="AD131" s="7" t="e">
        <f t="shared" si="9"/>
        <v>#DIV/0!</v>
      </c>
      <c r="AE131" s="7" t="e">
        <f t="shared" si="9"/>
        <v>#DIV/0!</v>
      </c>
      <c r="AF131" s="7" t="e">
        <f t="shared" si="9"/>
        <v>#DIV/0!</v>
      </c>
      <c r="AG131" s="7" t="e">
        <f t="shared" si="9"/>
        <v>#DIV/0!</v>
      </c>
      <c r="AH131" s="7" t="e">
        <f t="shared" si="9"/>
        <v>#DIV/0!</v>
      </c>
      <c r="AI131" s="49" t="e">
        <f t="shared" si="9"/>
        <v>#DIV/0!</v>
      </c>
    </row>
    <row r="134" spans="2:35" x14ac:dyDescent="0.2">
      <c r="B134" s="10" t="s">
        <v>475</v>
      </c>
      <c r="C134" s="170" t="s">
        <v>157</v>
      </c>
      <c r="D134" s="179" t="s">
        <v>434</v>
      </c>
    </row>
    <row r="135" spans="2:35" x14ac:dyDescent="0.2">
      <c r="B135" s="47" t="s">
        <v>188</v>
      </c>
      <c r="C135" s="2" t="s">
        <v>184</v>
      </c>
      <c r="D135" s="173" cm="1">
        <f t="array" ref="D135">NPV(e_WACC,F126:AI126)+E126</f>
        <v>0</v>
      </c>
    </row>
    <row r="136" spans="2:35" x14ac:dyDescent="0.2">
      <c r="B136" s="9" t="s">
        <v>189</v>
      </c>
      <c r="C136" s="2" t="s">
        <v>177</v>
      </c>
      <c r="D136" s="96" t="e">
        <f>IRR(E126:AI126)</f>
        <v>#NUM!</v>
      </c>
    </row>
    <row r="137" spans="2:35" x14ac:dyDescent="0.2">
      <c r="B137" s="9" t="s">
        <v>190</v>
      </c>
      <c r="C137" s="2" t="s">
        <v>191</v>
      </c>
      <c r="D137" s="97">
        <f>SUMIF(F130:AI130,"&gt;0")-SUMIF(F130:AI130,"&gt;1")</f>
        <v>0</v>
      </c>
    </row>
    <row r="138" spans="2:35" x14ac:dyDescent="0.2">
      <c r="B138" s="11" t="s">
        <v>192</v>
      </c>
      <c r="C138" s="133" t="s">
        <v>191</v>
      </c>
      <c r="D138" s="97">
        <f>SUMIF(F131:AI131,"&gt;0")-SUMIF(F131:AI131,"&gt;1")</f>
        <v>0</v>
      </c>
    </row>
    <row r="139" spans="2:35" x14ac:dyDescent="0.2">
      <c r="B139" s="70" t="s">
        <v>193</v>
      </c>
      <c r="C139" s="2" t="s">
        <v>186</v>
      </c>
      <c r="D139" s="173">
        <f>F86</f>
        <v>0</v>
      </c>
    </row>
    <row r="140" spans="2:35" x14ac:dyDescent="0.2">
      <c r="B140" s="20" t="s">
        <v>194</v>
      </c>
      <c r="C140" s="2" t="str">
        <f>'1. Pathway 1'!C140</f>
        <v>€/ton</v>
      </c>
      <c r="D140" s="188"/>
    </row>
    <row r="141" spans="2:35" x14ac:dyDescent="0.2">
      <c r="B141" s="98" t="s">
        <v>195</v>
      </c>
      <c r="C141" s="171" t="str">
        <f>'1. Pathway 1'!C141</f>
        <v>€/ton</v>
      </c>
      <c r="D141" s="189"/>
    </row>
    <row r="142" spans="2:35" x14ac:dyDescent="0.2">
      <c r="B142" s="142" t="s">
        <v>196</v>
      </c>
      <c r="C142" s="172" t="str">
        <f>'1. Pathway 1'!C142</f>
        <v>€/ton</v>
      </c>
      <c r="D142" s="190"/>
    </row>
    <row r="145" spans="2:8" x14ac:dyDescent="0.2">
      <c r="B145" s="193" t="s">
        <v>476</v>
      </c>
      <c r="C145" s="194"/>
      <c r="D145" s="194"/>
      <c r="E145" s="194"/>
      <c r="F145" s="194"/>
      <c r="G145" s="194"/>
      <c r="H145" s="198"/>
    </row>
    <row r="146" spans="2:8" x14ac:dyDescent="0.2">
      <c r="B146" s="195" t="s">
        <v>21</v>
      </c>
      <c r="C146" s="195" t="s">
        <v>156</v>
      </c>
      <c r="D146" s="195"/>
      <c r="E146" s="195" t="s">
        <v>157</v>
      </c>
      <c r="F146" s="195" t="s">
        <v>477</v>
      </c>
      <c r="G146" s="82" t="s">
        <v>443</v>
      </c>
      <c r="H146" s="199"/>
    </row>
    <row r="147" spans="2:8" x14ac:dyDescent="0.2">
      <c r="B147" s="196" t="s">
        <v>478</v>
      </c>
      <c r="C147" s="194"/>
      <c r="D147" s="194"/>
      <c r="E147" s="194"/>
      <c r="F147" s="194"/>
      <c r="G147" s="194"/>
      <c r="H147" s="198"/>
    </row>
    <row r="148" spans="2:8" x14ac:dyDescent="0.2">
      <c r="B148" s="87" t="s">
        <v>49</v>
      </c>
      <c r="C148" s="1" t="s">
        <v>444</v>
      </c>
      <c r="E148" s="1" t="str">
        <f>"kg CO2eq/" &amp; IF(Technology!$C$32="","FU",Technology!$C$32)</f>
        <v>kg CO2eq/FU</v>
      </c>
      <c r="F148" s="140"/>
      <c r="H148" s="48"/>
    </row>
    <row r="149" spans="2:8" x14ac:dyDescent="0.2">
      <c r="B149" s="87"/>
      <c r="C149" s="1" t="s">
        <v>445</v>
      </c>
      <c r="E149" s="1" t="str">
        <f>"kg CO2eq/" &amp; IF(Technology!$C$32="","FU",Technology!$C$32)</f>
        <v>kg CO2eq/FU</v>
      </c>
      <c r="F149" s="140"/>
      <c r="H149" s="48"/>
    </row>
    <row r="150" spans="2:8" x14ac:dyDescent="0.2">
      <c r="B150" s="87"/>
      <c r="C150" s="1" t="s">
        <v>223</v>
      </c>
      <c r="D150" s="1" t="s">
        <v>479</v>
      </c>
      <c r="E150" s="1" t="str">
        <f>"kg CO2eq/" &amp; IF(Technology!$C$32="","FU",Technology!$C$32)</f>
        <v>kg CO2eq/FU</v>
      </c>
      <c r="F150" s="140"/>
      <c r="H150" s="48"/>
    </row>
    <row r="151" spans="2:8" x14ac:dyDescent="0.2">
      <c r="B151" s="87"/>
      <c r="D151" s="1" t="s">
        <v>172</v>
      </c>
      <c r="E151" s="1" t="str">
        <f>"kg CO2eq/" &amp; IF(Technology!$C$32="","FU",Technology!$C$32)</f>
        <v>kg CO2eq/FU</v>
      </c>
      <c r="F151" s="140"/>
      <c r="H151" s="48"/>
    </row>
    <row r="152" spans="2:8" x14ac:dyDescent="0.2">
      <c r="B152" s="87"/>
      <c r="C152" s="1" t="s">
        <v>480</v>
      </c>
      <c r="E152" s="1" t="str">
        <f>"kg CO2eq/" &amp; IF(Technology!$C$32="","FU",Technology!$C$32)</f>
        <v>kg CO2eq/FU</v>
      </c>
      <c r="F152" s="140"/>
      <c r="H152" s="48"/>
    </row>
    <row r="153" spans="2:8" x14ac:dyDescent="0.2">
      <c r="B153" s="87"/>
      <c r="C153" s="1" t="s">
        <v>225</v>
      </c>
      <c r="E153" s="1" t="str">
        <f>"kg CO2eq/" &amp; IF(Technology!$C$32="","FU",Technology!$C$32)</f>
        <v>kg CO2eq/FU</v>
      </c>
      <c r="F153" s="140"/>
      <c r="H153" s="48"/>
    </row>
    <row r="154" spans="2:8" x14ac:dyDescent="0.2">
      <c r="B154" s="87"/>
      <c r="F154" s="140"/>
      <c r="H154" s="48"/>
    </row>
    <row r="155" spans="2:8" x14ac:dyDescent="0.2">
      <c r="B155" s="87" t="s">
        <v>49</v>
      </c>
      <c r="C155" s="1" t="s">
        <v>444</v>
      </c>
      <c r="E155" s="1" t="str">
        <f>"kg CO2eq/" &amp; IF(Technology!$C$32="","FU",Technology!$C$32)</f>
        <v>kg CO2eq/FU</v>
      </c>
      <c r="F155" s="140"/>
      <c r="H155" s="48"/>
    </row>
    <row r="156" spans="2:8" x14ac:dyDescent="0.2">
      <c r="B156" s="87"/>
      <c r="C156" s="1" t="s">
        <v>445</v>
      </c>
      <c r="E156" s="1" t="str">
        <f>"kg CO2eq/" &amp; IF(Technology!$C$32="","FU",Technology!$C$32)</f>
        <v>kg CO2eq/FU</v>
      </c>
      <c r="F156" s="140"/>
      <c r="H156" s="48"/>
    </row>
    <row r="157" spans="2:8" x14ac:dyDescent="0.2">
      <c r="B157" s="87"/>
      <c r="C157" s="1" t="s">
        <v>223</v>
      </c>
      <c r="D157" s="1" t="s">
        <v>170</v>
      </c>
      <c r="E157" s="1" t="str">
        <f>"kg CO2eq/" &amp; IF(Technology!$C$32="","FU",Technology!$C$32)</f>
        <v>kg CO2eq/FU</v>
      </c>
      <c r="F157" s="140"/>
      <c r="H157" s="48"/>
    </row>
    <row r="158" spans="2:8" x14ac:dyDescent="0.2">
      <c r="B158" s="87"/>
      <c r="D158" s="1" t="s">
        <v>172</v>
      </c>
      <c r="E158" s="1" t="str">
        <f>"kg CO2eq/" &amp; IF(Technology!$C$32="","FU",Technology!$C$32)</f>
        <v>kg CO2eq/FU</v>
      </c>
      <c r="F158" s="140"/>
      <c r="H158" s="48"/>
    </row>
    <row r="159" spans="2:8" x14ac:dyDescent="0.2">
      <c r="B159" s="87"/>
      <c r="C159" s="1" t="s">
        <v>480</v>
      </c>
      <c r="E159" s="1" t="str">
        <f>"kg CO2eq/" &amp; IF(Technology!$C$32="","FU",Technology!$C$32)</f>
        <v>kg CO2eq/FU</v>
      </c>
      <c r="F159" s="140"/>
      <c r="H159" s="48"/>
    </row>
    <row r="160" spans="2:8" x14ac:dyDescent="0.2">
      <c r="B160" s="87"/>
      <c r="C160" s="1" t="s">
        <v>225</v>
      </c>
      <c r="E160" s="1" t="str">
        <f>"kg CO2eq/" &amp; IF(Technology!$C$32="","FU",Technology!$C$32)</f>
        <v>kg CO2eq/FU</v>
      </c>
      <c r="F160" s="140"/>
      <c r="H160" s="48"/>
    </row>
    <row r="161" spans="2:8" x14ac:dyDescent="0.2">
      <c r="B161" s="87"/>
      <c r="F161" s="140"/>
      <c r="H161" s="48"/>
    </row>
    <row r="162" spans="2:8" x14ac:dyDescent="0.2">
      <c r="B162" s="82" t="s">
        <v>481</v>
      </c>
      <c r="C162" s="52"/>
      <c r="D162" s="52"/>
      <c r="E162" s="52"/>
      <c r="F162" s="192"/>
      <c r="G162" s="52"/>
      <c r="H162" s="199"/>
    </row>
    <row r="163" spans="2:8" x14ac:dyDescent="0.2">
      <c r="B163" s="87" t="s">
        <v>49</v>
      </c>
      <c r="C163" s="1" t="s">
        <v>444</v>
      </c>
      <c r="E163" s="1" t="str">
        <f>"kg CO2eq/" &amp; IF(Technology!$C$32="","FU",Technology!$C$32)</f>
        <v>kg CO2eq/FU</v>
      </c>
      <c r="F163" s="140"/>
      <c r="H163" s="48"/>
    </row>
    <row r="164" spans="2:8" x14ac:dyDescent="0.2">
      <c r="B164" s="87"/>
      <c r="C164" s="1" t="s">
        <v>445</v>
      </c>
      <c r="E164" s="1" t="str">
        <f>"kg CO2eq/" &amp; IF(Technology!$C$32="","FU",Technology!$C$32)</f>
        <v>kg CO2eq/FU</v>
      </c>
      <c r="F164" s="140"/>
      <c r="H164" s="48"/>
    </row>
    <row r="165" spans="2:8" x14ac:dyDescent="0.2">
      <c r="B165" s="87"/>
      <c r="C165" s="1" t="s">
        <v>223</v>
      </c>
      <c r="D165" s="1" t="s">
        <v>170</v>
      </c>
      <c r="E165" s="1" t="str">
        <f>"kg CO2eq/" &amp; IF(Technology!$C$32="","FU",Technology!$C$32)</f>
        <v>kg CO2eq/FU</v>
      </c>
      <c r="F165" s="140"/>
      <c r="H165" s="48"/>
    </row>
    <row r="166" spans="2:8" x14ac:dyDescent="0.2">
      <c r="B166" s="87"/>
      <c r="D166" s="1" t="s">
        <v>172</v>
      </c>
      <c r="E166" s="1" t="str">
        <f>"kg CO2eq/" &amp; IF(Technology!$C$32="","FU",Technology!$C$32)</f>
        <v>kg CO2eq/FU</v>
      </c>
      <c r="F166" s="140"/>
      <c r="H166" s="48"/>
    </row>
    <row r="167" spans="2:8" x14ac:dyDescent="0.2">
      <c r="B167" s="197"/>
      <c r="C167" s="7"/>
      <c r="D167" s="7"/>
      <c r="E167" s="7"/>
      <c r="F167" s="7"/>
      <c r="G167" s="7"/>
      <c r="H167" s="49"/>
    </row>
    <row r="171" spans="2:8" x14ac:dyDescent="0.2">
      <c r="B171" s="74" t="s">
        <v>451</v>
      </c>
      <c r="C171" s="177" t="s">
        <v>157</v>
      </c>
      <c r="D171" s="181" t="s">
        <v>434</v>
      </c>
    </row>
    <row r="172" spans="2:8" x14ac:dyDescent="0.2">
      <c r="B172" s="72" t="s">
        <v>482</v>
      </c>
      <c r="C172" s="174" t="str">
        <f>"ton CO2eq/" &amp; IF(Technology!C32="","FU",Technology!C32)</f>
        <v>ton CO2eq/FU</v>
      </c>
      <c r="D172" s="184"/>
    </row>
    <row r="173" spans="2:8" x14ac:dyDescent="0.2">
      <c r="B173" s="73" t="s">
        <v>483</v>
      </c>
      <c r="C173" s="176" t="str">
        <f>"ton CO2eq avoided/" &amp; IF(Technology!C32="","FU",Technology!C32)</f>
        <v>ton CO2eq avoided/FU</v>
      </c>
      <c r="D173" s="185"/>
    </row>
    <row r="174" spans="2:8" x14ac:dyDescent="0.2">
      <c r="B174" s="72" t="s">
        <v>484</v>
      </c>
      <c r="C174" s="187" t="str">
        <f>'1. Pathway 1'!C174</f>
        <v>ton CO2eq/FU</v>
      </c>
      <c r="D174" s="184">
        <f>D172-D173</f>
        <v>0</v>
      </c>
    </row>
    <row r="175" spans="2:8" x14ac:dyDescent="0.2">
      <c r="B175" s="73"/>
      <c r="C175" s="176" t="str">
        <f>'1. Pathway 1'!C175</f>
        <v>ton CO2eq/yr</v>
      </c>
      <c r="D175" s="185"/>
    </row>
    <row r="176" spans="2:8" ht="13.8" x14ac:dyDescent="0.3">
      <c r="B176" s="86" t="s">
        <v>198</v>
      </c>
      <c r="C176" s="224" t="str">
        <f>'1. Pathway 1'!C176</f>
        <v>ton CO2eq/FU</v>
      </c>
      <c r="D176" s="225">
        <f>D174-Technology!D15</f>
        <v>0</v>
      </c>
    </row>
    <row r="177" spans="1:4" x14ac:dyDescent="0.2">
      <c r="B177" s="73"/>
      <c r="C177" s="133" t="str">
        <f>'1. Pathway 1'!C177</f>
        <v>ton CO2eq/yr</v>
      </c>
      <c r="D177" s="226"/>
    </row>
    <row r="179" spans="1:4" x14ac:dyDescent="0.2">
      <c r="B179" s="128" t="s">
        <v>486</v>
      </c>
      <c r="C179" s="178" t="s">
        <v>157</v>
      </c>
      <c r="D179" s="182" t="s">
        <v>434</v>
      </c>
    </row>
    <row r="180" spans="1:4" x14ac:dyDescent="0.2">
      <c r="B180" s="127" t="s">
        <v>199</v>
      </c>
      <c r="C180" s="175" t="str">
        <f>'1. Pathway 1'!C180</f>
        <v>€/ton CO2eq avoided</v>
      </c>
      <c r="D180" s="186"/>
    </row>
    <row r="181" spans="1:4" ht="13.8" x14ac:dyDescent="0.3">
      <c r="B181" s="127" t="s">
        <v>488</v>
      </c>
      <c r="C181" s="175" t="str">
        <f>'1. Pathway 1'!C181</f>
        <v>MWh/ton CO2eq avoided</v>
      </c>
      <c r="D181" s="183"/>
    </row>
    <row r="183" spans="1:4" x14ac:dyDescent="0.2">
      <c r="B183" s="150"/>
    </row>
    <row r="184" spans="1:4" s="151" customFormat="1" x14ac:dyDescent="0.2">
      <c r="A184" s="1"/>
      <c r="B184" s="152" t="s">
        <v>490</v>
      </c>
      <c r="C184" s="153"/>
      <c r="D184" s="153"/>
    </row>
    <row r="195" spans="1:4" s="151" customFormat="1" x14ac:dyDescent="0.2">
      <c r="A195" s="1"/>
      <c r="B195" s="152" t="s">
        <v>491</v>
      </c>
      <c r="C195" s="153"/>
      <c r="D195" s="153"/>
    </row>
    <row r="205" spans="1:4" x14ac:dyDescent="0.2">
      <c r="B205" s="150"/>
    </row>
    <row r="207" spans="1:4" s="151" customFormat="1" x14ac:dyDescent="0.2">
      <c r="A207" s="1"/>
      <c r="B207" s="152" t="s">
        <v>492</v>
      </c>
      <c r="C207" s="153"/>
      <c r="D207" s="153"/>
    </row>
  </sheetData>
  <mergeCells count="1">
    <mergeCell ref="E78:AI78"/>
  </mergeCells>
  <dataValidations count="2">
    <dataValidation allowBlank="1" showInputMessage="1" showErrorMessage="1" prompt="The levelized cost of product is calculated by dividing the sum of all the costs over the lifetime by the sum of the product produced over the lifetime. " sqref="B140" xr:uid="{9869C121-342E-4B13-9C53-468F16B531B6}"/>
    <dataValidation allowBlank="1" showInputMessage="1" showErrorMessage="1" prompt="The total manufacturing cost is the sum of the total OPEX for one year." sqref="B139" xr:uid="{2D0A44C8-FA70-4535-B05F-D34C7F4174A4}"/>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A0D6-DBB1-4745-B465-99BA7F2ACD8B}">
  <sheetPr codeName="Sheet4"/>
  <dimension ref="A1:N58"/>
  <sheetViews>
    <sheetView workbookViewId="0">
      <selection activeCell="F47" sqref="F47"/>
    </sheetView>
  </sheetViews>
  <sheetFormatPr defaultRowHeight="14.4" x14ac:dyDescent="0.3"/>
  <cols>
    <col min="2" max="2" width="16.5546875" bestFit="1" customWidth="1"/>
    <col min="4" max="4" width="12.6640625" customWidth="1"/>
    <col min="5" max="5" width="12.5546875" customWidth="1"/>
    <col min="6" max="6" width="23.33203125" customWidth="1"/>
    <col min="8" max="8" width="18.33203125" customWidth="1"/>
    <col min="10" max="10" width="10.33203125" bestFit="1" customWidth="1"/>
    <col min="11" max="11" width="13.33203125" bestFit="1" customWidth="1"/>
  </cols>
  <sheetData>
    <row r="1" spans="1:14" x14ac:dyDescent="0.3">
      <c r="A1" s="89"/>
    </row>
    <row r="2" spans="1:14" x14ac:dyDescent="0.3">
      <c r="A2" s="89" t="s">
        <v>493</v>
      </c>
    </row>
    <row r="3" spans="1:14" x14ac:dyDescent="0.3">
      <c r="N3" s="101"/>
    </row>
    <row r="4" spans="1:14" x14ac:dyDescent="0.3">
      <c r="N4" s="100"/>
    </row>
    <row r="5" spans="1:14" ht="15.6" x14ac:dyDescent="0.35">
      <c r="B5" t="s">
        <v>494</v>
      </c>
      <c r="C5" t="s">
        <v>495</v>
      </c>
      <c r="D5" t="s">
        <v>356</v>
      </c>
      <c r="E5" t="s">
        <v>496</v>
      </c>
      <c r="H5" t="s">
        <v>497</v>
      </c>
      <c r="I5" t="s">
        <v>498</v>
      </c>
      <c r="J5" t="s">
        <v>356</v>
      </c>
    </row>
    <row r="6" spans="1:14" x14ac:dyDescent="0.3">
      <c r="B6" t="s">
        <v>499</v>
      </c>
      <c r="C6">
        <v>3</v>
      </c>
      <c r="D6" s="231">
        <v>2000</v>
      </c>
      <c r="H6" t="s">
        <v>500</v>
      </c>
      <c r="I6">
        <v>1</v>
      </c>
      <c r="J6" s="230">
        <v>1600</v>
      </c>
    </row>
    <row r="7" spans="1:14" x14ac:dyDescent="0.3">
      <c r="B7" t="s">
        <v>501</v>
      </c>
      <c r="C7">
        <v>2</v>
      </c>
      <c r="D7" s="232">
        <v>750</v>
      </c>
      <c r="H7" t="s">
        <v>502</v>
      </c>
      <c r="I7">
        <v>3</v>
      </c>
      <c r="J7" s="229">
        <v>7200</v>
      </c>
    </row>
    <row r="8" spans="1:14" x14ac:dyDescent="0.3">
      <c r="B8" t="s">
        <v>503</v>
      </c>
      <c r="C8">
        <v>2</v>
      </c>
      <c r="D8" s="231">
        <v>900</v>
      </c>
      <c r="H8" t="s">
        <v>504</v>
      </c>
      <c r="I8">
        <v>3</v>
      </c>
      <c r="J8" s="230">
        <v>2000</v>
      </c>
    </row>
    <row r="9" spans="1:14" x14ac:dyDescent="0.3">
      <c r="B9" t="s">
        <v>505</v>
      </c>
      <c r="C9">
        <v>2</v>
      </c>
      <c r="D9" s="232">
        <v>3200</v>
      </c>
      <c r="H9" t="s">
        <v>506</v>
      </c>
      <c r="I9">
        <v>3</v>
      </c>
      <c r="J9" s="229">
        <v>150</v>
      </c>
    </row>
    <row r="10" spans="1:14" x14ac:dyDescent="0.3">
      <c r="B10" t="s">
        <v>507</v>
      </c>
      <c r="C10">
        <v>2</v>
      </c>
      <c r="D10" s="231">
        <v>800</v>
      </c>
      <c r="H10" t="s">
        <v>508</v>
      </c>
      <c r="I10">
        <v>3</v>
      </c>
      <c r="J10" s="230">
        <v>42</v>
      </c>
    </row>
    <row r="11" spans="1:14" x14ac:dyDescent="0.3">
      <c r="B11" t="s">
        <v>509</v>
      </c>
      <c r="C11">
        <v>1</v>
      </c>
      <c r="D11" s="232">
        <v>4200</v>
      </c>
      <c r="H11" t="s">
        <v>510</v>
      </c>
      <c r="I11">
        <v>3</v>
      </c>
      <c r="J11" s="229">
        <v>500000</v>
      </c>
    </row>
    <row r="12" spans="1:14" x14ac:dyDescent="0.3">
      <c r="B12" t="s">
        <v>511</v>
      </c>
      <c r="C12">
        <v>3</v>
      </c>
      <c r="D12" s="231">
        <v>750</v>
      </c>
      <c r="H12" t="s">
        <v>512</v>
      </c>
      <c r="I12">
        <v>3</v>
      </c>
      <c r="J12" s="230">
        <v>6</v>
      </c>
    </row>
    <row r="13" spans="1:14" x14ac:dyDescent="0.3">
      <c r="B13" t="s">
        <v>513</v>
      </c>
      <c r="C13">
        <v>2</v>
      </c>
      <c r="D13" s="232">
        <v>2800</v>
      </c>
      <c r="H13" t="s">
        <v>514</v>
      </c>
      <c r="I13">
        <v>3</v>
      </c>
      <c r="J13" s="229">
        <v>300</v>
      </c>
    </row>
    <row r="14" spans="1:14" x14ac:dyDescent="0.3">
      <c r="B14" t="s">
        <v>515</v>
      </c>
      <c r="C14">
        <v>2</v>
      </c>
      <c r="D14" s="231">
        <v>1000</v>
      </c>
      <c r="H14" t="s">
        <v>516</v>
      </c>
      <c r="I14">
        <v>1</v>
      </c>
      <c r="J14" s="230">
        <v>4500</v>
      </c>
    </row>
    <row r="15" spans="1:14" x14ac:dyDescent="0.3">
      <c r="B15" t="s">
        <v>517</v>
      </c>
      <c r="C15">
        <v>3</v>
      </c>
      <c r="D15" s="232">
        <v>800</v>
      </c>
      <c r="H15" t="s">
        <v>518</v>
      </c>
      <c r="I15">
        <v>1</v>
      </c>
      <c r="J15" s="229">
        <v>10000</v>
      </c>
    </row>
    <row r="16" spans="1:14" x14ac:dyDescent="0.3">
      <c r="B16" t="s">
        <v>519</v>
      </c>
      <c r="C16">
        <v>2</v>
      </c>
      <c r="D16" s="231">
        <v>950</v>
      </c>
      <c r="H16" t="s">
        <v>520</v>
      </c>
      <c r="I16">
        <v>3</v>
      </c>
      <c r="J16" s="230">
        <v>40000</v>
      </c>
    </row>
    <row r="17" spans="2:10" x14ac:dyDescent="0.3">
      <c r="B17" t="s">
        <v>521</v>
      </c>
      <c r="C17">
        <v>3</v>
      </c>
      <c r="D17" s="232">
        <v>950</v>
      </c>
      <c r="H17" t="s">
        <v>522</v>
      </c>
      <c r="I17">
        <v>3</v>
      </c>
      <c r="J17" s="229">
        <v>160</v>
      </c>
    </row>
    <row r="18" spans="2:10" x14ac:dyDescent="0.3">
      <c r="B18" t="s">
        <v>523</v>
      </c>
      <c r="C18">
        <v>3</v>
      </c>
      <c r="D18">
        <v>900</v>
      </c>
      <c r="H18" t="s">
        <v>524</v>
      </c>
      <c r="I18">
        <v>3</v>
      </c>
      <c r="J18" s="230">
        <v>8500</v>
      </c>
    </row>
    <row r="19" spans="2:10" x14ac:dyDescent="0.3">
      <c r="B19" t="s">
        <v>525</v>
      </c>
      <c r="C19">
        <v>1</v>
      </c>
      <c r="D19">
        <v>1200</v>
      </c>
      <c r="H19" t="s">
        <v>526</v>
      </c>
      <c r="I19">
        <v>3</v>
      </c>
      <c r="J19" s="229">
        <v>400</v>
      </c>
    </row>
    <row r="20" spans="2:10" x14ac:dyDescent="0.3">
      <c r="B20" t="s">
        <v>527</v>
      </c>
      <c r="C20">
        <v>3</v>
      </c>
      <c r="D20" s="232">
        <v>400</v>
      </c>
      <c r="H20" t="s">
        <v>528</v>
      </c>
      <c r="I20">
        <v>3</v>
      </c>
      <c r="J20" s="230">
        <v>250000</v>
      </c>
    </row>
    <row r="21" spans="2:10" x14ac:dyDescent="0.3">
      <c r="B21" t="s">
        <v>529</v>
      </c>
      <c r="C21">
        <v>3</v>
      </c>
      <c r="D21">
        <v>310</v>
      </c>
      <c r="H21" t="s">
        <v>530</v>
      </c>
      <c r="I21">
        <v>3</v>
      </c>
      <c r="J21" s="229">
        <v>1300000</v>
      </c>
    </row>
    <row r="22" spans="2:10" x14ac:dyDescent="0.3">
      <c r="B22" t="s">
        <v>531</v>
      </c>
      <c r="C22">
        <v>3</v>
      </c>
      <c r="D22" s="231">
        <v>2800</v>
      </c>
      <c r="H22" t="s">
        <v>532</v>
      </c>
      <c r="I22">
        <v>1</v>
      </c>
      <c r="J22" s="230">
        <v>60000000</v>
      </c>
    </row>
    <row r="23" spans="2:10" x14ac:dyDescent="0.3">
      <c r="B23" t="s">
        <v>533</v>
      </c>
      <c r="C23">
        <v>3</v>
      </c>
      <c r="D23" s="232">
        <v>3120</v>
      </c>
      <c r="H23" t="s">
        <v>534</v>
      </c>
      <c r="I23">
        <v>3</v>
      </c>
      <c r="J23" s="229">
        <v>1000000</v>
      </c>
    </row>
    <row r="24" spans="2:10" x14ac:dyDescent="0.3">
      <c r="B24" t="s">
        <v>535</v>
      </c>
      <c r="C24">
        <v>3</v>
      </c>
      <c r="H24" t="s">
        <v>536</v>
      </c>
      <c r="I24">
        <v>3</v>
      </c>
      <c r="J24" s="230"/>
    </row>
    <row r="25" spans="2:10" x14ac:dyDescent="0.3">
      <c r="B25" t="s">
        <v>537</v>
      </c>
      <c r="C25">
        <v>3</v>
      </c>
      <c r="D25">
        <v>500</v>
      </c>
      <c r="H25" t="s">
        <v>538</v>
      </c>
      <c r="I25">
        <v>3</v>
      </c>
      <c r="J25" s="229"/>
    </row>
    <row r="26" spans="2:10" x14ac:dyDescent="0.3">
      <c r="B26" t="s">
        <v>539</v>
      </c>
      <c r="C26">
        <v>3</v>
      </c>
      <c r="D26">
        <v>800</v>
      </c>
      <c r="H26" t="s">
        <v>540</v>
      </c>
      <c r="I26">
        <v>3</v>
      </c>
      <c r="J26" s="230">
        <v>210000</v>
      </c>
    </row>
    <row r="27" spans="2:10" x14ac:dyDescent="0.3">
      <c r="B27" t="s">
        <v>541</v>
      </c>
      <c r="C27">
        <v>2</v>
      </c>
      <c r="D27" s="232"/>
      <c r="H27" t="s">
        <v>542</v>
      </c>
      <c r="I27">
        <v>1</v>
      </c>
      <c r="J27" s="229">
        <v>2100</v>
      </c>
    </row>
    <row r="28" spans="2:10" x14ac:dyDescent="0.3">
      <c r="B28" t="s">
        <v>543</v>
      </c>
      <c r="C28">
        <v>2</v>
      </c>
      <c r="D28" s="231">
        <v>2700</v>
      </c>
      <c r="H28" t="s">
        <v>544</v>
      </c>
      <c r="I28">
        <v>3</v>
      </c>
      <c r="J28" s="230"/>
    </row>
    <row r="29" spans="2:10" x14ac:dyDescent="0.3">
      <c r="B29" t="s">
        <v>545</v>
      </c>
      <c r="D29">
        <v>1000</v>
      </c>
      <c r="H29" t="s">
        <v>546</v>
      </c>
      <c r="I29">
        <v>3</v>
      </c>
      <c r="J29" s="229">
        <v>40000</v>
      </c>
    </row>
    <row r="30" spans="2:10" x14ac:dyDescent="0.3">
      <c r="B30" t="s">
        <v>547</v>
      </c>
      <c r="C30">
        <v>2</v>
      </c>
      <c r="D30">
        <v>650</v>
      </c>
      <c r="H30" t="s">
        <v>548</v>
      </c>
      <c r="I30">
        <v>3</v>
      </c>
      <c r="J30" s="230">
        <v>2300</v>
      </c>
    </row>
    <row r="31" spans="2:10" x14ac:dyDescent="0.3">
      <c r="B31" t="s">
        <v>549</v>
      </c>
      <c r="C31">
        <v>1</v>
      </c>
      <c r="D31">
        <v>1000</v>
      </c>
      <c r="H31" t="s">
        <v>550</v>
      </c>
      <c r="I31">
        <v>3</v>
      </c>
      <c r="J31" s="229">
        <v>2100</v>
      </c>
    </row>
    <row r="32" spans="2:10" x14ac:dyDescent="0.3">
      <c r="B32" t="s">
        <v>551</v>
      </c>
      <c r="C32">
        <v>1</v>
      </c>
      <c r="D32">
        <v>600</v>
      </c>
      <c r="H32" t="s">
        <v>552</v>
      </c>
      <c r="I32">
        <v>3</v>
      </c>
      <c r="J32" s="230">
        <v>1100</v>
      </c>
    </row>
    <row r="33" spans="2:10" x14ac:dyDescent="0.3">
      <c r="B33" t="s">
        <v>553</v>
      </c>
      <c r="D33">
        <v>1300</v>
      </c>
      <c r="H33" t="s">
        <v>554</v>
      </c>
      <c r="I33">
        <v>3</v>
      </c>
      <c r="J33" s="229">
        <v>1500</v>
      </c>
    </row>
    <row r="34" spans="2:10" x14ac:dyDescent="0.3">
      <c r="B34" t="s">
        <v>555</v>
      </c>
      <c r="C34">
        <v>3</v>
      </c>
      <c r="D34">
        <v>550</v>
      </c>
      <c r="H34" t="s">
        <v>556</v>
      </c>
      <c r="I34">
        <v>3</v>
      </c>
      <c r="J34" s="230">
        <v>25000</v>
      </c>
    </row>
    <row r="35" spans="2:10" x14ac:dyDescent="0.3">
      <c r="B35" t="s">
        <v>557</v>
      </c>
      <c r="C35">
        <v>2</v>
      </c>
      <c r="D35">
        <v>1300</v>
      </c>
      <c r="H35" t="s">
        <v>558</v>
      </c>
      <c r="I35">
        <v>3</v>
      </c>
      <c r="J35" s="229">
        <v>30</v>
      </c>
    </row>
    <row r="36" spans="2:10" x14ac:dyDescent="0.3">
      <c r="B36" t="s">
        <v>559</v>
      </c>
      <c r="C36">
        <v>3</v>
      </c>
      <c r="D36">
        <v>800</v>
      </c>
      <c r="H36" t="s">
        <v>560</v>
      </c>
      <c r="I36">
        <v>3</v>
      </c>
      <c r="J36" s="230">
        <v>84</v>
      </c>
    </row>
    <row r="37" spans="2:10" x14ac:dyDescent="0.3">
      <c r="B37" t="s">
        <v>561</v>
      </c>
      <c r="C37">
        <v>1</v>
      </c>
      <c r="H37" t="s">
        <v>562</v>
      </c>
      <c r="I37">
        <v>3</v>
      </c>
      <c r="J37" s="229">
        <v>200</v>
      </c>
    </row>
    <row r="38" spans="2:10" x14ac:dyDescent="0.3">
      <c r="B38" t="s">
        <v>563</v>
      </c>
      <c r="C38">
        <v>1</v>
      </c>
      <c r="D38" s="231">
        <v>1650</v>
      </c>
      <c r="H38" t="s">
        <v>564</v>
      </c>
      <c r="I38">
        <v>3</v>
      </c>
      <c r="J38" s="230">
        <v>41600000</v>
      </c>
    </row>
    <row r="39" spans="2:10" x14ac:dyDescent="0.3">
      <c r="B39" t="s">
        <v>565</v>
      </c>
      <c r="C39">
        <v>2</v>
      </c>
      <c r="H39" t="s">
        <v>566</v>
      </c>
      <c r="I39">
        <v>1</v>
      </c>
      <c r="J39" s="229">
        <v>2300000</v>
      </c>
    </row>
    <row r="40" spans="2:10" x14ac:dyDescent="0.3">
      <c r="B40" t="s">
        <v>567</v>
      </c>
      <c r="C40">
        <v>2</v>
      </c>
      <c r="D40">
        <v>1200</v>
      </c>
      <c r="H40" t="s">
        <v>568</v>
      </c>
      <c r="I40">
        <v>3</v>
      </c>
      <c r="J40" s="230">
        <v>1000</v>
      </c>
    </row>
    <row r="41" spans="2:10" x14ac:dyDescent="0.3">
      <c r="B41" t="s">
        <v>569</v>
      </c>
      <c r="C41">
        <v>2</v>
      </c>
      <c r="H41" t="s">
        <v>570</v>
      </c>
      <c r="I41">
        <v>1</v>
      </c>
      <c r="J41" s="229">
        <v>80000</v>
      </c>
    </row>
    <row r="42" spans="2:10" x14ac:dyDescent="0.3">
      <c r="B42" t="s">
        <v>571</v>
      </c>
      <c r="C42">
        <v>2</v>
      </c>
      <c r="D42">
        <v>500</v>
      </c>
      <c r="H42" t="s">
        <v>572</v>
      </c>
      <c r="I42">
        <v>3</v>
      </c>
      <c r="J42" s="230">
        <v>2500</v>
      </c>
    </row>
    <row r="43" spans="2:10" x14ac:dyDescent="0.3">
      <c r="B43" t="s">
        <v>573</v>
      </c>
      <c r="C43">
        <v>2</v>
      </c>
      <c r="H43" t="s">
        <v>574</v>
      </c>
      <c r="I43">
        <v>1</v>
      </c>
      <c r="J43" s="229">
        <v>700000</v>
      </c>
    </row>
    <row r="44" spans="2:10" x14ac:dyDescent="0.3">
      <c r="B44" t="s">
        <v>575</v>
      </c>
      <c r="C44">
        <v>3</v>
      </c>
      <c r="H44" t="s">
        <v>576</v>
      </c>
      <c r="I44">
        <v>3</v>
      </c>
      <c r="J44" s="230">
        <v>400</v>
      </c>
    </row>
    <row r="45" spans="2:10" x14ac:dyDescent="0.3">
      <c r="B45" t="s">
        <v>577</v>
      </c>
      <c r="C45">
        <v>2</v>
      </c>
      <c r="D45">
        <v>1400</v>
      </c>
      <c r="H45" t="s">
        <v>578</v>
      </c>
      <c r="I45">
        <v>3</v>
      </c>
      <c r="J45" s="229">
        <v>270000</v>
      </c>
    </row>
    <row r="46" spans="2:10" x14ac:dyDescent="0.3">
      <c r="B46" t="s">
        <v>579</v>
      </c>
      <c r="C46">
        <v>3</v>
      </c>
      <c r="D46">
        <v>600</v>
      </c>
      <c r="H46" t="s">
        <v>580</v>
      </c>
      <c r="I46">
        <v>1</v>
      </c>
      <c r="J46" s="230">
        <v>30000</v>
      </c>
    </row>
    <row r="47" spans="2:10" x14ac:dyDescent="0.3">
      <c r="B47" t="s">
        <v>581</v>
      </c>
      <c r="C47">
        <v>1</v>
      </c>
      <c r="D47" s="232">
        <v>1610</v>
      </c>
      <c r="H47" t="s">
        <v>582</v>
      </c>
      <c r="I47">
        <v>3</v>
      </c>
      <c r="J47" s="229">
        <v>4000</v>
      </c>
    </row>
    <row r="48" spans="2:10" x14ac:dyDescent="0.3">
      <c r="B48" t="s">
        <v>583</v>
      </c>
      <c r="C48">
        <v>3</v>
      </c>
      <c r="D48" s="231"/>
      <c r="H48" t="s">
        <v>584</v>
      </c>
      <c r="I48">
        <v>3</v>
      </c>
      <c r="J48" s="230">
        <v>30000</v>
      </c>
    </row>
    <row r="49" spans="2:10" x14ac:dyDescent="0.3">
      <c r="B49" t="s">
        <v>585</v>
      </c>
      <c r="C49">
        <v>3</v>
      </c>
      <c r="D49" s="232">
        <v>1860</v>
      </c>
      <c r="H49" t="s">
        <v>586</v>
      </c>
      <c r="I49">
        <v>3</v>
      </c>
      <c r="J49" s="229">
        <v>40000</v>
      </c>
    </row>
    <row r="50" spans="2:10" x14ac:dyDescent="0.3">
      <c r="B50" t="s">
        <v>587</v>
      </c>
      <c r="C50">
        <v>3</v>
      </c>
      <c r="D50" s="231">
        <v>751</v>
      </c>
      <c r="H50" t="s">
        <v>588</v>
      </c>
      <c r="I50">
        <v>1</v>
      </c>
      <c r="J50" s="230">
        <v>3000</v>
      </c>
    </row>
    <row r="51" spans="2:10" x14ac:dyDescent="0.3">
      <c r="B51" t="s">
        <v>589</v>
      </c>
      <c r="C51">
        <v>3</v>
      </c>
      <c r="D51" s="232">
        <v>4400</v>
      </c>
      <c r="H51" t="s">
        <v>590</v>
      </c>
      <c r="I51">
        <v>1</v>
      </c>
      <c r="J51" s="229">
        <v>4100</v>
      </c>
    </row>
    <row r="52" spans="2:10" x14ac:dyDescent="0.3">
      <c r="B52" t="s">
        <v>591</v>
      </c>
      <c r="C52">
        <v>1</v>
      </c>
      <c r="D52" s="231">
        <v>3500</v>
      </c>
      <c r="H52" t="s">
        <v>358</v>
      </c>
    </row>
    <row r="53" spans="2:10" x14ac:dyDescent="0.3">
      <c r="B53" t="s">
        <v>592</v>
      </c>
      <c r="C53">
        <v>3</v>
      </c>
      <c r="D53" s="232">
        <v>3200</v>
      </c>
    </row>
    <row r="54" spans="2:10" x14ac:dyDescent="0.3">
      <c r="B54" t="s">
        <v>593</v>
      </c>
      <c r="C54">
        <v>3</v>
      </c>
      <c r="D54" s="231">
        <v>2400</v>
      </c>
    </row>
    <row r="55" spans="2:10" x14ac:dyDescent="0.3">
      <c r="B55" t="s">
        <v>594</v>
      </c>
      <c r="C55">
        <v>2</v>
      </c>
      <c r="D55">
        <v>700</v>
      </c>
    </row>
    <row r="56" spans="2:10" x14ac:dyDescent="0.3">
      <c r="B56" t="s">
        <v>595</v>
      </c>
      <c r="C56">
        <v>1</v>
      </c>
      <c r="D56">
        <v>1</v>
      </c>
      <c r="E56">
        <v>1.7699999999999999E-4</v>
      </c>
    </row>
    <row r="57" spans="2:10" x14ac:dyDescent="0.3">
      <c r="B57" t="s">
        <v>596</v>
      </c>
      <c r="C57">
        <v>2</v>
      </c>
      <c r="D57">
        <v>700</v>
      </c>
    </row>
    <row r="58" spans="2:10" x14ac:dyDescent="0.3">
      <c r="B58" t="s">
        <v>358</v>
      </c>
    </row>
  </sheetData>
  <pageMargins left="0.7" right="0.7" top="0.75" bottom="0.75" header="0.3" footer="0.3"/>
  <pageSetup paperSize="9" orientation="portrait" r:id="rId1"/>
  <drawing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9A96C12F825C4DAB94D1D23875A452" ma:contentTypeVersion="9" ma:contentTypeDescription="Create a new document." ma:contentTypeScope="" ma:versionID="1c7f91b26b25ed5fd3fd66447fc14e6c">
  <xsd:schema xmlns:xsd="http://www.w3.org/2001/XMLSchema" xmlns:xs="http://www.w3.org/2001/XMLSchema" xmlns:p="http://schemas.microsoft.com/office/2006/metadata/properties" xmlns:ns2="7899f4a0-e761-43a0-b87e-b5fb0856ed1e" targetNamespace="http://schemas.microsoft.com/office/2006/metadata/properties" ma:root="true" ma:fieldsID="3466ad9429bd2acf5c9fab4dcefe0d38" ns2:_="">
    <xsd:import namespace="7899f4a0-e761-43a0-b87e-b5fb0856ed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9f4a0-e761-43a0-b87e-b5fb0856ed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E49FC1-01BE-42E8-8EBE-2F648C03D9CA}"/>
</file>

<file path=customXml/itemProps2.xml><?xml version="1.0" encoding="utf-8"?>
<ds:datastoreItem xmlns:ds="http://schemas.openxmlformats.org/officeDocument/2006/customXml" ds:itemID="{30EE4FD8-9FA9-4F3C-AFCA-5CB8E2E4ED92}">
  <ds:schemaRefs>
    <ds:schemaRef ds:uri="http://schemas.microsoft.com/sharepoint/v3/contenttype/forms"/>
  </ds:schemaRefs>
</ds:datastoreItem>
</file>

<file path=customXml/itemProps3.xml><?xml version="1.0" encoding="utf-8"?>
<ds:datastoreItem xmlns:ds="http://schemas.openxmlformats.org/officeDocument/2006/customXml" ds:itemID="{FFD03F2A-CA96-499F-93CE-34BA351F5624}">
  <ds:schemaRef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7899f4a0-e761-43a0-b87e-b5fb0856ed1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33</vt:i4>
      </vt:variant>
    </vt:vector>
  </HeadingPairs>
  <TitlesOfParts>
    <vt:vector size="48" baseType="lpstr">
      <vt:lpstr>Intro</vt:lpstr>
      <vt:lpstr>Dashboard results</vt:lpstr>
      <vt:lpstr>Project</vt:lpstr>
      <vt:lpstr>Technology</vt:lpstr>
      <vt:lpstr>Market </vt:lpstr>
      <vt:lpstr>Pathway definition and results</vt:lpstr>
      <vt:lpstr>Data - technical</vt:lpstr>
      <vt:lpstr>Data - economic</vt:lpstr>
      <vt:lpstr>Data - environmental</vt:lpstr>
      <vt:lpstr>Data - general</vt:lpstr>
      <vt:lpstr>1. Pathway 1</vt:lpstr>
      <vt:lpstr>2. Pathway 2</vt:lpstr>
      <vt:lpstr>3. Pathway 3</vt:lpstr>
      <vt:lpstr>4. Pathway 4</vt:lpstr>
      <vt:lpstr>Dropdown list</vt:lpstr>
      <vt:lpstr>'2. Pathway 2'!Critical_elements</vt:lpstr>
      <vt:lpstr>'3. Pathway 3'!Critical_elements</vt:lpstr>
      <vt:lpstr>'4. Pathway 4'!Critical_elements</vt:lpstr>
      <vt:lpstr>Critical_elements</vt:lpstr>
      <vt:lpstr>e_debt_ratio</vt:lpstr>
      <vt:lpstr>e_discountrate_nominal</vt:lpstr>
      <vt:lpstr>e_discountrate_real</vt:lpstr>
      <vt:lpstr>e_ecolifetime_yr</vt:lpstr>
      <vt:lpstr>e_equity_ratio</vt:lpstr>
      <vt:lpstr>e_inflationrate</vt:lpstr>
      <vt:lpstr>e_interestrate</vt:lpstr>
      <vt:lpstr>e_taxrate_BE</vt:lpstr>
      <vt:lpstr>e_WACC</vt:lpstr>
      <vt:lpstr>'2. Pathway 2'!sc1_economic</vt:lpstr>
      <vt:lpstr>'3. Pathway 3'!sc1_economic</vt:lpstr>
      <vt:lpstr>'4. Pathway 4'!sc1_economic</vt:lpstr>
      <vt:lpstr>sc1_economic</vt:lpstr>
      <vt:lpstr>'2. Pathway 2'!sc1_environmental</vt:lpstr>
      <vt:lpstr>'3. Pathway 3'!sc1_environmental</vt:lpstr>
      <vt:lpstr>'4. Pathway 4'!sc1_environmental</vt:lpstr>
      <vt:lpstr>sc1_environmental</vt:lpstr>
      <vt:lpstr>'2. Pathway 2'!sc1_sensitivity</vt:lpstr>
      <vt:lpstr>'3. Pathway 3'!sc1_sensitivity</vt:lpstr>
      <vt:lpstr>'4. Pathway 4'!sc1_sensitivity</vt:lpstr>
      <vt:lpstr>sc1_sensitivity</vt:lpstr>
      <vt:lpstr>'2. Pathway 2'!sc1_technical</vt:lpstr>
      <vt:lpstr>'3. Pathway 3'!sc1_technical</vt:lpstr>
      <vt:lpstr>'4. Pathway 4'!sc1_technical</vt:lpstr>
      <vt:lpstr>sc1_technical</vt:lpstr>
      <vt:lpstr>'2. Pathway 2'!Solvents</vt:lpstr>
      <vt:lpstr>'3. Pathway 3'!Solvents</vt:lpstr>
      <vt:lpstr>'4. Pathway 4'!Solvents</vt:lpstr>
      <vt:lpstr>Solvents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Dael Miet</dc:creator>
  <cp:keywords/>
  <dc:description/>
  <cp:lastModifiedBy>Miet Van Dael</cp:lastModifiedBy>
  <cp:revision/>
  <dcterms:created xsi:type="dcterms:W3CDTF">2022-02-02T12:53:03Z</dcterms:created>
  <dcterms:modified xsi:type="dcterms:W3CDTF">2023-09-01T11:55:56Z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0x010100A39A96C12F825C4DAB94D1D23875A452</vt:lpwstr>
  </property>
  <property fmtid="{D5CDD505-2E9C-101B-9397-08002B2CF9AE}" pid="3" name="MSIP_Label_ea60d57e-af5b-4752-ac57-3e4f28ca11dc_Enabled">
    <vt:lpwstr>true</vt:lpwstr>
  </property>
  <property fmtid="{D5CDD505-2E9C-101B-9397-08002B2CF9AE}" pid="4" name="MSIP_Label_ea60d57e-af5b-4752-ac57-3e4f28ca11dc_SetDate">
    <vt:lpwstr>2023-04-18T13:24:17Z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7638f720-2cc7-4534-9d40-6c32b7cce7ca</vt:lpwstr>
  </property>
  <property fmtid="{D5CDD505-2E9C-101B-9397-08002B2CF9AE}" pid="9" name="MSIP_Label_ea60d57e-af5b-4752-ac57-3e4f28ca11dc_ContentBits">
    <vt:lpwstr>0</vt:lpwstr>
  </property>
</Properties>
</file>