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vlaamseoverheid-my.sharepoint.com/personal/korinne_laenen_vlaio_be/Documents/CfD/"/>
    </mc:Choice>
  </mc:AlternateContent>
  <xr:revisionPtr revIDLastSave="0" documentId="8_{F2046AA6-0E3D-461C-A9F7-2F67E0E84CA7}" xr6:coauthVersionLast="47" xr6:coauthVersionMax="47" xr10:uidLastSave="{00000000-0000-0000-0000-000000000000}"/>
  <workbookProtection workbookAlgorithmName="SHA-512" workbookHashValue="kXgBhCgjG4j5FmygEhG79zhqOvL1YClCSQMZsgobVeGLaetkvc1sBGcNDi1yt3z15rouQTbmf7JpCPGRdjdhAA==" workbookSaltValue="emS5wII87kAfDVWTk2zakQ==" workbookSpinCount="100000" lockStructure="1"/>
  <bookViews>
    <workbookView xWindow="28680" yWindow="-510" windowWidth="29040" windowHeight="15840" tabRatio="760" xr2:uid="{DF96F96A-B62D-40C6-A0FC-DDB5D8C12A46}"/>
  </bookViews>
  <sheets>
    <sheet name="Toelichting" sheetId="15" r:id="rId1"/>
    <sheet name="Algemene parameters" sheetId="12" r:id="rId2"/>
    <sheet name="Technologie parameters" sheetId="13" r:id="rId3"/>
    <sheet name="e-boiler" sheetId="14" r:id="rId4"/>
    <sheet name="Warmtepomp 3,000u" sheetId="18" r:id="rId5"/>
    <sheet name="Warmtempomp 5,500u" sheetId="17" r:id="rId6"/>
    <sheet name="Warmtepomp 8,000u" sheetId="16" r:id="rId7"/>
    <sheet name="MVR 3,000u" sheetId="21" r:id="rId8"/>
    <sheet name="MVR 5,500u" sheetId="20" r:id="rId9"/>
    <sheet name="MVR 8,000u" sheetId="1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14" l="1"/>
  <c r="B55" i="14" s="1"/>
  <c r="B63" i="14"/>
  <c r="B26" i="14"/>
  <c r="L15" i="13"/>
  <c r="L14" i="13"/>
  <c r="L13" i="13"/>
  <c r="L12" i="13"/>
  <c r="L11" i="13"/>
  <c r="L10" i="13"/>
  <c r="L9" i="13"/>
  <c r="B33" i="16"/>
  <c r="B23" i="14"/>
  <c r="B21" i="14"/>
  <c r="B41" i="12"/>
  <c r="K10" i="13"/>
  <c r="K11" i="13" s="1"/>
  <c r="K12" i="13" s="1"/>
  <c r="K13" i="13" s="1"/>
  <c r="K14" i="13" s="1"/>
  <c r="K15" i="13" s="1"/>
  <c r="B48" i="14" l="1"/>
  <c r="B56" i="14"/>
  <c r="I15" i="13" l="1"/>
  <c r="I14" i="13"/>
  <c r="I13" i="13"/>
  <c r="I12" i="13"/>
  <c r="I11" i="13"/>
  <c r="I10" i="13"/>
  <c r="I9" i="13"/>
  <c r="R74" i="21" l="1"/>
  <c r="Q74" i="21"/>
  <c r="P74" i="21"/>
  <c r="O74" i="21"/>
  <c r="N74" i="21"/>
  <c r="L74" i="21"/>
  <c r="F74" i="21"/>
  <c r="E74" i="21"/>
  <c r="D74" i="21"/>
  <c r="B61" i="21"/>
  <c r="B60" i="21"/>
  <c r="B45" i="21"/>
  <c r="B44" i="21"/>
  <c r="B43" i="21"/>
  <c r="B42" i="21"/>
  <c r="B41" i="21"/>
  <c r="B40" i="21"/>
  <c r="B39" i="21"/>
  <c r="K74" i="21" s="1"/>
  <c r="B38" i="21"/>
  <c r="B37" i="21"/>
  <c r="P79" i="21" s="1"/>
  <c r="B33" i="21"/>
  <c r="B32" i="21"/>
  <c r="B31" i="21"/>
  <c r="B27" i="21"/>
  <c r="B26" i="21"/>
  <c r="B23" i="21"/>
  <c r="B21" i="21"/>
  <c r="B17" i="21"/>
  <c r="B16" i="21"/>
  <c r="B14" i="21"/>
  <c r="B13" i="21"/>
  <c r="R74" i="20"/>
  <c r="Q74" i="20"/>
  <c r="P74" i="20"/>
  <c r="O74" i="20"/>
  <c r="M74" i="20"/>
  <c r="F74" i="20"/>
  <c r="E74" i="20"/>
  <c r="D74" i="20"/>
  <c r="B61" i="20"/>
  <c r="B60" i="20"/>
  <c r="B45" i="20"/>
  <c r="B44" i="20"/>
  <c r="B43" i="20"/>
  <c r="B42" i="20"/>
  <c r="B41" i="20"/>
  <c r="B40" i="20"/>
  <c r="B39" i="20"/>
  <c r="L74" i="20" s="1"/>
  <c r="B38" i="20"/>
  <c r="B37" i="20"/>
  <c r="Q79" i="20" s="1"/>
  <c r="B33" i="20"/>
  <c r="B32" i="20"/>
  <c r="B31" i="20"/>
  <c r="B27" i="20"/>
  <c r="B26" i="20"/>
  <c r="B23" i="20"/>
  <c r="B21" i="20"/>
  <c r="B17" i="20"/>
  <c r="B16" i="20"/>
  <c r="B14" i="20"/>
  <c r="B13" i="20"/>
  <c r="R74" i="19"/>
  <c r="Q74" i="19"/>
  <c r="P74" i="19"/>
  <c r="N74" i="19"/>
  <c r="F74" i="19"/>
  <c r="E74" i="19"/>
  <c r="D74" i="19"/>
  <c r="B61" i="19"/>
  <c r="B60" i="19"/>
  <c r="B45" i="19"/>
  <c r="B44" i="19"/>
  <c r="B43" i="19"/>
  <c r="B42" i="19"/>
  <c r="B41" i="19"/>
  <c r="B40" i="19"/>
  <c r="B39" i="19"/>
  <c r="M74" i="19" s="1"/>
  <c r="B38" i="19"/>
  <c r="B37" i="19"/>
  <c r="R79" i="19" s="1"/>
  <c r="B33" i="19"/>
  <c r="B32" i="19"/>
  <c r="B31" i="19"/>
  <c r="B27" i="19"/>
  <c r="B26" i="19"/>
  <c r="B23" i="19"/>
  <c r="B21" i="19"/>
  <c r="B17" i="19"/>
  <c r="B16" i="19"/>
  <c r="B14" i="19"/>
  <c r="B13" i="19"/>
  <c r="R74" i="18"/>
  <c r="Q74" i="18"/>
  <c r="P74" i="18"/>
  <c r="O74" i="18"/>
  <c r="N74" i="18"/>
  <c r="F74" i="18"/>
  <c r="E74" i="18"/>
  <c r="D74" i="18"/>
  <c r="B61" i="18"/>
  <c r="B60" i="18"/>
  <c r="B45" i="18"/>
  <c r="B44" i="18"/>
  <c r="B43" i="18"/>
  <c r="B42" i="18"/>
  <c r="B41" i="18"/>
  <c r="B40" i="18"/>
  <c r="B39" i="18"/>
  <c r="K74" i="18" s="1"/>
  <c r="B38" i="18"/>
  <c r="B37" i="18"/>
  <c r="P79" i="18" s="1"/>
  <c r="B33" i="18"/>
  <c r="B32" i="18"/>
  <c r="B31" i="18"/>
  <c r="B27" i="18"/>
  <c r="B26" i="18"/>
  <c r="B23" i="18"/>
  <c r="B21" i="18"/>
  <c r="B17" i="18"/>
  <c r="B16" i="18"/>
  <c r="B14" i="18"/>
  <c r="B13" i="18"/>
  <c r="R74" i="17"/>
  <c r="Q74" i="17"/>
  <c r="P74" i="17"/>
  <c r="O74" i="17"/>
  <c r="N74" i="17"/>
  <c r="M74" i="17"/>
  <c r="L74" i="17"/>
  <c r="J74" i="17"/>
  <c r="I74" i="17"/>
  <c r="H74" i="17"/>
  <c r="F74" i="17"/>
  <c r="E74" i="17"/>
  <c r="D74" i="17"/>
  <c r="B61" i="17"/>
  <c r="B60" i="17"/>
  <c r="B45" i="17"/>
  <c r="B44" i="17"/>
  <c r="B43" i="17"/>
  <c r="B42" i="17"/>
  <c r="B41" i="17"/>
  <c r="B40" i="17"/>
  <c r="B39" i="17"/>
  <c r="K74" i="17" s="1"/>
  <c r="B38" i="17"/>
  <c r="B37" i="17"/>
  <c r="B33" i="17"/>
  <c r="B32" i="17"/>
  <c r="B31" i="17"/>
  <c r="B27" i="17"/>
  <c r="B26" i="17"/>
  <c r="B23" i="17"/>
  <c r="B21" i="17"/>
  <c r="B17" i="17"/>
  <c r="B16" i="17"/>
  <c r="B14" i="17"/>
  <c r="B13" i="17"/>
  <c r="R74" i="16"/>
  <c r="Q74" i="16"/>
  <c r="P74" i="16"/>
  <c r="O74" i="16"/>
  <c r="N74" i="16"/>
  <c r="M74" i="16"/>
  <c r="L74" i="16"/>
  <c r="F74" i="16"/>
  <c r="E74" i="16"/>
  <c r="D74" i="16"/>
  <c r="B61" i="16"/>
  <c r="B60" i="16"/>
  <c r="B45" i="16"/>
  <c r="B44" i="16"/>
  <c r="B43" i="16"/>
  <c r="B42" i="16"/>
  <c r="B41" i="16"/>
  <c r="B40" i="16"/>
  <c r="B39" i="16"/>
  <c r="K74" i="16" s="1"/>
  <c r="B38" i="16"/>
  <c r="B37" i="16"/>
  <c r="P79" i="16" s="1"/>
  <c r="B32" i="16"/>
  <c r="B31" i="16"/>
  <c r="B27" i="16"/>
  <c r="B26" i="16"/>
  <c r="B23" i="16"/>
  <c r="B21" i="16"/>
  <c r="B17" i="16"/>
  <c r="B16" i="16"/>
  <c r="B14" i="16"/>
  <c r="B13" i="16"/>
  <c r="B15" i="20" l="1"/>
  <c r="F90" i="20" s="1"/>
  <c r="B28" i="18"/>
  <c r="P90" i="20"/>
  <c r="B15" i="18"/>
  <c r="J90" i="18" s="1"/>
  <c r="B28" i="17"/>
  <c r="B15" i="19"/>
  <c r="B22" i="19" s="1"/>
  <c r="C77" i="19" s="1"/>
  <c r="B15" i="17"/>
  <c r="F90" i="17" s="1"/>
  <c r="B28" i="21"/>
  <c r="B15" i="21"/>
  <c r="D90" i="21" s="1"/>
  <c r="B28" i="20"/>
  <c r="B28" i="16"/>
  <c r="P90" i="19"/>
  <c r="B28" i="19"/>
  <c r="B18" i="19"/>
  <c r="B18" i="21"/>
  <c r="P90" i="21"/>
  <c r="Q90" i="19"/>
  <c r="R79" i="20"/>
  <c r="Q79" i="21"/>
  <c r="O74" i="19"/>
  <c r="N74" i="20"/>
  <c r="M74" i="21"/>
  <c r="R79" i="21"/>
  <c r="R90" i="21"/>
  <c r="I74" i="19"/>
  <c r="Q78" i="19"/>
  <c r="H74" i="20"/>
  <c r="P78" i="20"/>
  <c r="G74" i="21"/>
  <c r="G74" i="20"/>
  <c r="J74" i="19"/>
  <c r="R78" i="19"/>
  <c r="I74" i="20"/>
  <c r="Q78" i="20"/>
  <c r="H74" i="21"/>
  <c r="P78" i="21"/>
  <c r="B18" i="20"/>
  <c r="G74" i="19"/>
  <c r="P78" i="19"/>
  <c r="K74" i="19"/>
  <c r="P79" i="19"/>
  <c r="J74" i="20"/>
  <c r="R78" i="20"/>
  <c r="I74" i="21"/>
  <c r="Q78" i="21"/>
  <c r="R90" i="19"/>
  <c r="R90" i="20"/>
  <c r="L74" i="19"/>
  <c r="Q79" i="19"/>
  <c r="K74" i="20"/>
  <c r="P79" i="20"/>
  <c r="J74" i="21"/>
  <c r="R78" i="21"/>
  <c r="Q90" i="20"/>
  <c r="Q90" i="21"/>
  <c r="H74" i="19"/>
  <c r="B18" i="18"/>
  <c r="B18" i="17"/>
  <c r="B18" i="16"/>
  <c r="B15" i="16"/>
  <c r="P90" i="18"/>
  <c r="N90" i="18"/>
  <c r="L74" i="18"/>
  <c r="Q79" i="18"/>
  <c r="M74" i="18"/>
  <c r="R79" i="18"/>
  <c r="H74" i="18"/>
  <c r="Q90" i="18"/>
  <c r="R90" i="18"/>
  <c r="G74" i="18"/>
  <c r="I74" i="18"/>
  <c r="J74" i="18"/>
  <c r="P90" i="17"/>
  <c r="P79" i="17"/>
  <c r="Q79" i="17"/>
  <c r="R79" i="17"/>
  <c r="G74" i="17"/>
  <c r="Q90" i="17"/>
  <c r="R90" i="17"/>
  <c r="P90" i="16"/>
  <c r="Q90" i="16"/>
  <c r="R90" i="16"/>
  <c r="H74" i="16"/>
  <c r="G74" i="16"/>
  <c r="I74" i="16"/>
  <c r="Q79" i="16"/>
  <c r="R79" i="16"/>
  <c r="J74" i="16"/>
  <c r="N90" i="16" l="1"/>
  <c r="B34" i="16"/>
  <c r="B49" i="16" s="1"/>
  <c r="K90" i="19"/>
  <c r="K90" i="20"/>
  <c r="I90" i="18"/>
  <c r="H90" i="17"/>
  <c r="M90" i="17"/>
  <c r="B34" i="17"/>
  <c r="B22" i="18"/>
  <c r="G90" i="18"/>
  <c r="H90" i="18"/>
  <c r="B34" i="18"/>
  <c r="B50" i="18" s="1"/>
  <c r="D90" i="18"/>
  <c r="E90" i="18"/>
  <c r="M90" i="18"/>
  <c r="F90" i="18"/>
  <c r="O90" i="18"/>
  <c r="H79" i="17"/>
  <c r="K90" i="18"/>
  <c r="L90" i="18"/>
  <c r="M90" i="20"/>
  <c r="G90" i="20"/>
  <c r="I90" i="20"/>
  <c r="E90" i="17"/>
  <c r="J90" i="20"/>
  <c r="D90" i="20"/>
  <c r="E90" i="20"/>
  <c r="D90" i="17"/>
  <c r="O90" i="20"/>
  <c r="N90" i="20"/>
  <c r="H90" i="20"/>
  <c r="B22" i="20"/>
  <c r="B24" i="20" s="1"/>
  <c r="B25" i="20" s="1"/>
  <c r="G78" i="20" s="1"/>
  <c r="L90" i="20"/>
  <c r="B34" i="20"/>
  <c r="F79" i="21"/>
  <c r="D90" i="16"/>
  <c r="K79" i="18"/>
  <c r="D79" i="17"/>
  <c r="G90" i="17"/>
  <c r="J79" i="21"/>
  <c r="J90" i="19"/>
  <c r="E90" i="19"/>
  <c r="K90" i="21"/>
  <c r="O90" i="19"/>
  <c r="H90" i="19"/>
  <c r="B34" i="19"/>
  <c r="B49" i="19" s="1"/>
  <c r="F90" i="19"/>
  <c r="B22" i="17"/>
  <c r="B24" i="17" s="1"/>
  <c r="B25" i="17" s="1"/>
  <c r="N90" i="17"/>
  <c r="I90" i="19"/>
  <c r="M90" i="19"/>
  <c r="H90" i="21"/>
  <c r="J90" i="17"/>
  <c r="L90" i="19"/>
  <c r="D90" i="19"/>
  <c r="B22" i="21"/>
  <c r="I90" i="17"/>
  <c r="F90" i="21"/>
  <c r="N90" i="19"/>
  <c r="G90" i="19"/>
  <c r="L90" i="17"/>
  <c r="K90" i="17"/>
  <c r="M90" i="21"/>
  <c r="I79" i="19"/>
  <c r="I79" i="20"/>
  <c r="I79" i="18"/>
  <c r="N79" i="18"/>
  <c r="E79" i="18"/>
  <c r="J79" i="16"/>
  <c r="J79" i="18"/>
  <c r="F79" i="19"/>
  <c r="K79" i="16"/>
  <c r="E90" i="16"/>
  <c r="H79" i="18"/>
  <c r="E79" i="21"/>
  <c r="N79" i="21"/>
  <c r="J90" i="16"/>
  <c r="F90" i="16"/>
  <c r="N79" i="20"/>
  <c r="L79" i="21"/>
  <c r="L90" i="16"/>
  <c r="G90" i="16"/>
  <c r="K90" i="16"/>
  <c r="O79" i="18"/>
  <c r="G79" i="21"/>
  <c r="O90" i="21"/>
  <c r="L79" i="16"/>
  <c r="B22" i="16"/>
  <c r="I79" i="21"/>
  <c r="M82" i="19"/>
  <c r="D83" i="19"/>
  <c r="E83" i="19"/>
  <c r="E82" i="19"/>
  <c r="D79" i="16"/>
  <c r="G90" i="21"/>
  <c r="K79" i="21"/>
  <c r="B24" i="19"/>
  <c r="B25" i="19" s="1"/>
  <c r="J78" i="19" s="1"/>
  <c r="F79" i="16"/>
  <c r="I79" i="16"/>
  <c r="O90" i="17"/>
  <c r="H79" i="21"/>
  <c r="B34" i="21"/>
  <c r="L90" i="21"/>
  <c r="D79" i="21"/>
  <c r="G79" i="16"/>
  <c r="F79" i="17"/>
  <c r="O79" i="16"/>
  <c r="J79" i="19"/>
  <c r="H79" i="19"/>
  <c r="L79" i="19"/>
  <c r="D79" i="19"/>
  <c r="E79" i="19"/>
  <c r="J90" i="21"/>
  <c r="I90" i="21"/>
  <c r="O79" i="19"/>
  <c r="M79" i="21"/>
  <c r="K79" i="19"/>
  <c r="O79" i="21"/>
  <c r="E90" i="21"/>
  <c r="N79" i="19"/>
  <c r="M79" i="19"/>
  <c r="N90" i="21"/>
  <c r="G79" i="19"/>
  <c r="H79" i="20"/>
  <c r="R86" i="19"/>
  <c r="R87" i="19" s="1"/>
  <c r="R89" i="19" s="1"/>
  <c r="L79" i="20"/>
  <c r="D79" i="20"/>
  <c r="L82" i="19"/>
  <c r="H83" i="19"/>
  <c r="R86" i="21"/>
  <c r="R87" i="21" s="1"/>
  <c r="R89" i="21" s="1"/>
  <c r="Q86" i="20"/>
  <c r="Q87" i="20" s="1"/>
  <c r="Q89" i="20" s="1"/>
  <c r="F79" i="20"/>
  <c r="M79" i="20"/>
  <c r="O79" i="20"/>
  <c r="G79" i="20"/>
  <c r="R86" i="20"/>
  <c r="R87" i="20" s="1"/>
  <c r="R89" i="20" s="1"/>
  <c r="Q86" i="19"/>
  <c r="Q87" i="19" s="1"/>
  <c r="Q89" i="19" s="1"/>
  <c r="C89" i="19"/>
  <c r="I81" i="19"/>
  <c r="M81" i="19"/>
  <c r="K83" i="19"/>
  <c r="G81" i="19"/>
  <c r="L81" i="19"/>
  <c r="J81" i="19"/>
  <c r="I82" i="19"/>
  <c r="J83" i="19"/>
  <c r="K81" i="19"/>
  <c r="H81" i="19"/>
  <c r="H82" i="19"/>
  <c r="E81" i="19"/>
  <c r="D81" i="19"/>
  <c r="F81" i="19"/>
  <c r="M83" i="19"/>
  <c r="J79" i="20"/>
  <c r="F83" i="19"/>
  <c r="K79" i="20"/>
  <c r="D82" i="19"/>
  <c r="G83" i="19"/>
  <c r="Q86" i="21"/>
  <c r="Q87" i="21" s="1"/>
  <c r="Q89" i="21" s="1"/>
  <c r="L83" i="19"/>
  <c r="I83" i="19"/>
  <c r="F82" i="19"/>
  <c r="K82" i="19"/>
  <c r="P86" i="21"/>
  <c r="P87" i="21" s="1"/>
  <c r="P89" i="21" s="1"/>
  <c r="P86" i="20"/>
  <c r="P87" i="20" s="1"/>
  <c r="P89" i="20" s="1"/>
  <c r="E79" i="20"/>
  <c r="P86" i="19"/>
  <c r="P87" i="19" s="1"/>
  <c r="P89" i="19" s="1"/>
  <c r="J82" i="19"/>
  <c r="G82" i="19"/>
  <c r="L79" i="18"/>
  <c r="D79" i="18"/>
  <c r="F79" i="18"/>
  <c r="G79" i="18"/>
  <c r="M79" i="18"/>
  <c r="O79" i="17"/>
  <c r="G79" i="17"/>
  <c r="I79" i="17"/>
  <c r="M79" i="17"/>
  <c r="E79" i="17"/>
  <c r="K79" i="17"/>
  <c r="L79" i="17"/>
  <c r="J79" i="17"/>
  <c r="N79" i="17"/>
  <c r="I90" i="16"/>
  <c r="M79" i="16"/>
  <c r="H90" i="16"/>
  <c r="E79" i="16"/>
  <c r="N79" i="16"/>
  <c r="H79" i="16"/>
  <c r="M90" i="16"/>
  <c r="O90" i="16"/>
  <c r="P78" i="18"/>
  <c r="Q78" i="18"/>
  <c r="R78" i="18"/>
  <c r="B61" i="14"/>
  <c r="B60" i="14"/>
  <c r="B24" i="16" l="1"/>
  <c r="B25" i="16" s="1"/>
  <c r="B56" i="21"/>
  <c r="B49" i="17"/>
  <c r="B57" i="17"/>
  <c r="N78" i="20"/>
  <c r="N86" i="20" s="1"/>
  <c r="N87" i="20" s="1"/>
  <c r="N89" i="20" s="1"/>
  <c r="O78" i="20"/>
  <c r="O86" i="20" s="1"/>
  <c r="O87" i="20" s="1"/>
  <c r="O89" i="20" s="1"/>
  <c r="B56" i="18"/>
  <c r="B57" i="18"/>
  <c r="B56" i="17"/>
  <c r="B50" i="17"/>
  <c r="L78" i="20"/>
  <c r="E78" i="20"/>
  <c r="F78" i="20"/>
  <c r="M78" i="20"/>
  <c r="H78" i="20"/>
  <c r="C77" i="16"/>
  <c r="J83" i="16" s="1"/>
  <c r="I78" i="20"/>
  <c r="J78" i="20"/>
  <c r="B49" i="18"/>
  <c r="K78" i="20"/>
  <c r="C77" i="20"/>
  <c r="K82" i="20" s="1"/>
  <c r="D78" i="20"/>
  <c r="C77" i="18"/>
  <c r="B24" i="18"/>
  <c r="B25" i="18" s="1"/>
  <c r="B57" i="20"/>
  <c r="B56" i="20"/>
  <c r="B49" i="20"/>
  <c r="B50" i="20"/>
  <c r="B50" i="19"/>
  <c r="C77" i="17"/>
  <c r="K81" i="17" s="1"/>
  <c r="B57" i="19"/>
  <c r="M84" i="19"/>
  <c r="M78" i="19"/>
  <c r="M86" i="19" s="1"/>
  <c r="M87" i="19" s="1"/>
  <c r="B56" i="19"/>
  <c r="F84" i="19"/>
  <c r="K78" i="19"/>
  <c r="K86" i="19" s="1"/>
  <c r="K87" i="19" s="1"/>
  <c r="E78" i="19"/>
  <c r="E86" i="19" s="1"/>
  <c r="E87" i="19" s="1"/>
  <c r="L78" i="19"/>
  <c r="L86" i="19" s="1"/>
  <c r="L87" i="19" s="1"/>
  <c r="G78" i="19"/>
  <c r="G86" i="19" s="1"/>
  <c r="G87" i="19" s="1"/>
  <c r="B24" i="21"/>
  <c r="B25" i="21" s="1"/>
  <c r="C77" i="21"/>
  <c r="K84" i="19"/>
  <c r="H84" i="19"/>
  <c r="H78" i="19"/>
  <c r="H86" i="19" s="1"/>
  <c r="H87" i="19" s="1"/>
  <c r="D84" i="19"/>
  <c r="B50" i="16"/>
  <c r="B56" i="16"/>
  <c r="D78" i="19"/>
  <c r="D86" i="19" s="1"/>
  <c r="D87" i="19" s="1"/>
  <c r="B57" i="16"/>
  <c r="F78" i="19"/>
  <c r="E84" i="19"/>
  <c r="I78" i="19"/>
  <c r="I86" i="19" s="1"/>
  <c r="I87" i="19" s="1"/>
  <c r="N78" i="19"/>
  <c r="N86" i="19" s="1"/>
  <c r="N87" i="19" s="1"/>
  <c r="N89" i="19" s="1"/>
  <c r="B49" i="21"/>
  <c r="O78" i="19"/>
  <c r="O86" i="19" s="1"/>
  <c r="O87" i="19" s="1"/>
  <c r="O89" i="19" s="1"/>
  <c r="B50" i="21"/>
  <c r="B57" i="21"/>
  <c r="G84" i="19"/>
  <c r="J86" i="19"/>
  <c r="J87" i="19" s="1"/>
  <c r="I84" i="19"/>
  <c r="J84" i="19"/>
  <c r="L84" i="19"/>
  <c r="Q86" i="18"/>
  <c r="Q87" i="18" s="1"/>
  <c r="Q89" i="18" s="1"/>
  <c r="R86" i="18"/>
  <c r="R87" i="18" s="1"/>
  <c r="R89" i="18" s="1"/>
  <c r="P86" i="18"/>
  <c r="P87" i="18" s="1"/>
  <c r="P89" i="18" s="1"/>
  <c r="G78" i="17"/>
  <c r="L78" i="17"/>
  <c r="J78" i="17"/>
  <c r="F78" i="17"/>
  <c r="E78" i="17"/>
  <c r="K78" i="17"/>
  <c r="D78" i="17"/>
  <c r="M78" i="17"/>
  <c r="I78" i="17"/>
  <c r="H78" i="17"/>
  <c r="P78" i="17"/>
  <c r="R78" i="17"/>
  <c r="O78" i="17"/>
  <c r="N78" i="17"/>
  <c r="Q78" i="17"/>
  <c r="G78" i="16"/>
  <c r="H78" i="16"/>
  <c r="F78" i="16"/>
  <c r="J78" i="16"/>
  <c r="E78" i="16"/>
  <c r="L78" i="16"/>
  <c r="K78" i="16"/>
  <c r="D78" i="16"/>
  <c r="M78" i="16"/>
  <c r="I78" i="16"/>
  <c r="O78" i="16"/>
  <c r="R78" i="16"/>
  <c r="P78" i="16"/>
  <c r="Q78" i="16"/>
  <c r="N78" i="16"/>
  <c r="B33" i="14"/>
  <c r="B37" i="14"/>
  <c r="B27" i="14"/>
  <c r="B28" i="14" s="1"/>
  <c r="B27" i="12"/>
  <c r="B42" i="14" s="1"/>
  <c r="B39" i="14"/>
  <c r="M74" i="14" s="1"/>
  <c r="B40" i="14"/>
  <c r="B41" i="14"/>
  <c r="B43" i="14"/>
  <c r="B44" i="14"/>
  <c r="B38" i="14"/>
  <c r="B17" i="14"/>
  <c r="B16" i="14"/>
  <c r="B14" i="14"/>
  <c r="B13" i="14"/>
  <c r="B13" i="12"/>
  <c r="B31" i="14" s="1"/>
  <c r="M82" i="16" l="1"/>
  <c r="D82" i="16"/>
  <c r="J82" i="16"/>
  <c r="J84" i="16" s="1"/>
  <c r="D81" i="16"/>
  <c r="F82" i="17"/>
  <c r="H83" i="17"/>
  <c r="M89" i="19"/>
  <c r="E81" i="17"/>
  <c r="F81" i="16"/>
  <c r="G82" i="16"/>
  <c r="I83" i="16"/>
  <c r="H82" i="16"/>
  <c r="K81" i="16"/>
  <c r="M81" i="16"/>
  <c r="M86" i="16" s="1"/>
  <c r="M87" i="16" s="1"/>
  <c r="H83" i="16"/>
  <c r="E82" i="16"/>
  <c r="E81" i="16"/>
  <c r="F83" i="16"/>
  <c r="I82" i="16"/>
  <c r="K83" i="16"/>
  <c r="G83" i="16"/>
  <c r="C89" i="16"/>
  <c r="K82" i="16"/>
  <c r="H81" i="16"/>
  <c r="L81" i="16"/>
  <c r="G81" i="16"/>
  <c r="E83" i="16"/>
  <c r="M83" i="16"/>
  <c r="M84" i="16" s="1"/>
  <c r="I81" i="16"/>
  <c r="F82" i="16"/>
  <c r="L82" i="16"/>
  <c r="D83" i="16"/>
  <c r="L83" i="16"/>
  <c r="J81" i="16"/>
  <c r="I78" i="18"/>
  <c r="L78" i="18"/>
  <c r="H78" i="18"/>
  <c r="D78" i="18"/>
  <c r="G78" i="18"/>
  <c r="O78" i="18"/>
  <c r="O86" i="18" s="1"/>
  <c r="O87" i="18" s="1"/>
  <c r="O89" i="18" s="1"/>
  <c r="F78" i="18"/>
  <c r="J78" i="18"/>
  <c r="N78" i="18"/>
  <c r="N86" i="18" s="1"/>
  <c r="N87" i="18" s="1"/>
  <c r="N89" i="18" s="1"/>
  <c r="M78" i="18"/>
  <c r="E78" i="18"/>
  <c r="K78" i="18"/>
  <c r="E83" i="20"/>
  <c r="I83" i="20"/>
  <c r="M83" i="20"/>
  <c r="J82" i="20"/>
  <c r="G82" i="20"/>
  <c r="M82" i="20"/>
  <c r="C89" i="20"/>
  <c r="E81" i="20"/>
  <c r="M81" i="20"/>
  <c r="H82" i="20"/>
  <c r="I82" i="20"/>
  <c r="F82" i="20"/>
  <c r="L82" i="20"/>
  <c r="G81" i="20"/>
  <c r="J81" i="20"/>
  <c r="H81" i="20"/>
  <c r="D81" i="20"/>
  <c r="L81" i="20"/>
  <c r="G83" i="20"/>
  <c r="F83" i="20"/>
  <c r="D82" i="20"/>
  <c r="J83" i="20"/>
  <c r="K83" i="20"/>
  <c r="K84" i="20" s="1"/>
  <c r="E82" i="20"/>
  <c r="D83" i="20"/>
  <c r="H83" i="20"/>
  <c r="L83" i="20"/>
  <c r="K81" i="20"/>
  <c r="K86" i="20" s="1"/>
  <c r="K87" i="20" s="1"/>
  <c r="I81" i="20"/>
  <c r="I82" i="17"/>
  <c r="G82" i="18"/>
  <c r="F82" i="18"/>
  <c r="C89" i="18"/>
  <c r="F81" i="18"/>
  <c r="L83" i="18"/>
  <c r="L81" i="18"/>
  <c r="I82" i="18"/>
  <c r="H83" i="18"/>
  <c r="D81" i="18"/>
  <c r="J81" i="18"/>
  <c r="J82" i="18"/>
  <c r="H82" i="18"/>
  <c r="E81" i="18"/>
  <c r="M81" i="18"/>
  <c r="D82" i="18"/>
  <c r="G81" i="18"/>
  <c r="F83" i="18"/>
  <c r="M82" i="18"/>
  <c r="K81" i="18"/>
  <c r="M83" i="18"/>
  <c r="G83" i="18"/>
  <c r="I81" i="18"/>
  <c r="E83" i="18"/>
  <c r="H81" i="18"/>
  <c r="L82" i="18"/>
  <c r="I83" i="18"/>
  <c r="D83" i="18"/>
  <c r="E82" i="18"/>
  <c r="K83" i="18"/>
  <c r="K82" i="18"/>
  <c r="J83" i="18"/>
  <c r="F81" i="20"/>
  <c r="J81" i="17"/>
  <c r="F81" i="17"/>
  <c r="K82" i="17"/>
  <c r="D83" i="17"/>
  <c r="L82" i="17"/>
  <c r="J82" i="17"/>
  <c r="L83" i="17"/>
  <c r="G83" i="17"/>
  <c r="M82" i="17"/>
  <c r="C89" i="17"/>
  <c r="G82" i="17"/>
  <c r="M83" i="17"/>
  <c r="I81" i="17"/>
  <c r="J83" i="17"/>
  <c r="J89" i="19"/>
  <c r="E82" i="17"/>
  <c r="H82" i="17"/>
  <c r="L81" i="17"/>
  <c r="F83" i="17"/>
  <c r="G81" i="17"/>
  <c r="D81" i="17"/>
  <c r="D82" i="17"/>
  <c r="K83" i="17"/>
  <c r="I83" i="17"/>
  <c r="K89" i="19"/>
  <c r="E83" i="17"/>
  <c r="H81" i="17"/>
  <c r="M81" i="17"/>
  <c r="H89" i="19"/>
  <c r="I89" i="19"/>
  <c r="D89" i="19"/>
  <c r="G89" i="19"/>
  <c r="G78" i="21"/>
  <c r="M78" i="21"/>
  <c r="K78" i="21"/>
  <c r="F78" i="21"/>
  <c r="L78" i="21"/>
  <c r="J78" i="21"/>
  <c r="D78" i="21"/>
  <c r="H78" i="21"/>
  <c r="N78" i="21"/>
  <c r="N86" i="21" s="1"/>
  <c r="N87" i="21" s="1"/>
  <c r="N89" i="21" s="1"/>
  <c r="O78" i="21"/>
  <c r="E78" i="21"/>
  <c r="I78" i="21"/>
  <c r="K82" i="21"/>
  <c r="M81" i="21"/>
  <c r="D81" i="21"/>
  <c r="L82" i="21"/>
  <c r="K83" i="21"/>
  <c r="I81" i="21"/>
  <c r="L83" i="21"/>
  <c r="L81" i="21"/>
  <c r="F83" i="21"/>
  <c r="H82" i="21"/>
  <c r="F81" i="21"/>
  <c r="E83" i="21"/>
  <c r="I83" i="21"/>
  <c r="E81" i="21"/>
  <c r="M83" i="21"/>
  <c r="J83" i="21"/>
  <c r="H81" i="21"/>
  <c r="G82" i="21"/>
  <c r="G81" i="21"/>
  <c r="D82" i="21"/>
  <c r="H83" i="21"/>
  <c r="G83" i="21"/>
  <c r="F82" i="21"/>
  <c r="D83" i="21"/>
  <c r="E82" i="21"/>
  <c r="K81" i="21"/>
  <c r="J81" i="21"/>
  <c r="M82" i="21"/>
  <c r="I82" i="21"/>
  <c r="C89" i="21"/>
  <c r="J82" i="21"/>
  <c r="E89" i="19"/>
  <c r="F86" i="19"/>
  <c r="F87" i="19" s="1"/>
  <c r="F89" i="19" s="1"/>
  <c r="L89" i="19"/>
  <c r="O86" i="17"/>
  <c r="O87" i="17" s="1"/>
  <c r="O89" i="17" s="1"/>
  <c r="P86" i="17"/>
  <c r="P87" i="17" s="1"/>
  <c r="P89" i="17" s="1"/>
  <c r="R86" i="17"/>
  <c r="R87" i="17" s="1"/>
  <c r="R89" i="17" s="1"/>
  <c r="Q86" i="17"/>
  <c r="Q87" i="17" s="1"/>
  <c r="Q89" i="17" s="1"/>
  <c r="N86" i="17"/>
  <c r="N87" i="17" s="1"/>
  <c r="N89" i="17" s="1"/>
  <c r="R86" i="16"/>
  <c r="R87" i="16" s="1"/>
  <c r="R89" i="16" s="1"/>
  <c r="O86" i="16"/>
  <c r="O87" i="16" s="1"/>
  <c r="O89" i="16" s="1"/>
  <c r="N86" i="16"/>
  <c r="N87" i="16" s="1"/>
  <c r="N89" i="16" s="1"/>
  <c r="Q86" i="16"/>
  <c r="Q87" i="16" s="1"/>
  <c r="Q89" i="16" s="1"/>
  <c r="P86" i="16"/>
  <c r="P87" i="16" s="1"/>
  <c r="P89" i="16" s="1"/>
  <c r="B18" i="14"/>
  <c r="D79" i="14" s="1"/>
  <c r="B30" i="12"/>
  <c r="B45" i="14" s="1"/>
  <c r="R74" i="14"/>
  <c r="G74" i="14"/>
  <c r="E74" i="14"/>
  <c r="F74" i="14"/>
  <c r="H74" i="14"/>
  <c r="I74" i="14"/>
  <c r="Q74" i="14"/>
  <c r="J74" i="14"/>
  <c r="N74" i="14"/>
  <c r="B15" i="14"/>
  <c r="O74" i="14"/>
  <c r="D74" i="14"/>
  <c r="P74" i="14"/>
  <c r="K74" i="14"/>
  <c r="L74" i="14"/>
  <c r="N90" i="14" l="1"/>
  <c r="B22" i="14"/>
  <c r="B24" i="14" s="1"/>
  <c r="B25" i="14" s="1"/>
  <c r="D78" i="14" s="1"/>
  <c r="D86" i="16"/>
  <c r="D87" i="16" s="1"/>
  <c r="D84" i="16"/>
  <c r="D89" i="16" s="1"/>
  <c r="F84" i="17"/>
  <c r="F86" i="17"/>
  <c r="F87" i="17" s="1"/>
  <c r="F89" i="17" s="1"/>
  <c r="H84" i="17"/>
  <c r="F86" i="16"/>
  <c r="F87" i="16" s="1"/>
  <c r="J86" i="16"/>
  <c r="J87" i="16" s="1"/>
  <c r="J89" i="16" s="1"/>
  <c r="I84" i="16"/>
  <c r="H86" i="17"/>
  <c r="H87" i="17" s="1"/>
  <c r="G86" i="16"/>
  <c r="G87" i="16" s="1"/>
  <c r="K84" i="18"/>
  <c r="E84" i="16"/>
  <c r="H84" i="16"/>
  <c r="H86" i="16"/>
  <c r="H87" i="16" s="1"/>
  <c r="I86" i="16"/>
  <c r="I87" i="16" s="1"/>
  <c r="E86" i="16"/>
  <c r="E87" i="16" s="1"/>
  <c r="I86" i="17"/>
  <c r="I87" i="17" s="1"/>
  <c r="J84" i="18"/>
  <c r="I84" i="17"/>
  <c r="F84" i="16"/>
  <c r="D86" i="20"/>
  <c r="D87" i="20" s="1"/>
  <c r="M84" i="18"/>
  <c r="G86" i="20"/>
  <c r="G87" i="20" s="1"/>
  <c r="L86" i="16"/>
  <c r="L87" i="16" s="1"/>
  <c r="J86" i="17"/>
  <c r="J87" i="17" s="1"/>
  <c r="K86" i="16"/>
  <c r="K87" i="16" s="1"/>
  <c r="L84" i="16"/>
  <c r="G84" i="16"/>
  <c r="K89" i="20"/>
  <c r="K84" i="16"/>
  <c r="L86" i="17"/>
  <c r="L87" i="17" s="1"/>
  <c r="H84" i="20"/>
  <c r="K84" i="17"/>
  <c r="L84" i="18"/>
  <c r="G84" i="18"/>
  <c r="D84" i="20"/>
  <c r="F84" i="18"/>
  <c r="H84" i="18"/>
  <c r="E86" i="20"/>
  <c r="E87" i="20" s="1"/>
  <c r="J86" i="18"/>
  <c r="J87" i="18" s="1"/>
  <c r="E84" i="20"/>
  <c r="D84" i="17"/>
  <c r="L86" i="20"/>
  <c r="L87" i="20" s="1"/>
  <c r="M84" i="20"/>
  <c r="F86" i="20"/>
  <c r="F87" i="20" s="1"/>
  <c r="I86" i="20"/>
  <c r="I87" i="20" s="1"/>
  <c r="M86" i="18"/>
  <c r="M87" i="18" s="1"/>
  <c r="M86" i="20"/>
  <c r="M87" i="20" s="1"/>
  <c r="F86" i="18"/>
  <c r="F87" i="18" s="1"/>
  <c r="D86" i="17"/>
  <c r="D87" i="17" s="1"/>
  <c r="M84" i="17"/>
  <c r="G84" i="20"/>
  <c r="G86" i="18"/>
  <c r="G87" i="18" s="1"/>
  <c r="G86" i="17"/>
  <c r="G87" i="17" s="1"/>
  <c r="G84" i="17"/>
  <c r="H86" i="20"/>
  <c r="H87" i="20" s="1"/>
  <c r="J84" i="20"/>
  <c r="D86" i="18"/>
  <c r="D87" i="18" s="1"/>
  <c r="I84" i="18"/>
  <c r="J86" i="20"/>
  <c r="J87" i="20" s="1"/>
  <c r="H86" i="18"/>
  <c r="H87" i="18" s="1"/>
  <c r="K86" i="17"/>
  <c r="K87" i="17" s="1"/>
  <c r="J84" i="17"/>
  <c r="L86" i="18"/>
  <c r="L87" i="18" s="1"/>
  <c r="L84" i="20"/>
  <c r="I86" i="18"/>
  <c r="I87" i="18" s="1"/>
  <c r="F84" i="21"/>
  <c r="E84" i="17"/>
  <c r="L84" i="17"/>
  <c r="E84" i="18"/>
  <c r="F84" i="20"/>
  <c r="K86" i="18"/>
  <c r="K87" i="18" s="1"/>
  <c r="D84" i="18"/>
  <c r="I84" i="20"/>
  <c r="E86" i="18"/>
  <c r="E87" i="18" s="1"/>
  <c r="E86" i="17"/>
  <c r="E87" i="17" s="1"/>
  <c r="M86" i="17"/>
  <c r="M87" i="17" s="1"/>
  <c r="H84" i="21"/>
  <c r="M84" i="21"/>
  <c r="E84" i="21"/>
  <c r="L84" i="21"/>
  <c r="D86" i="21"/>
  <c r="D87" i="21" s="1"/>
  <c r="G84" i="21"/>
  <c r="F86" i="21"/>
  <c r="F87" i="21" s="1"/>
  <c r="J84" i="21"/>
  <c r="O86" i="21"/>
  <c r="O87" i="21" s="1"/>
  <c r="O89" i="21" s="1"/>
  <c r="I84" i="21"/>
  <c r="K84" i="21"/>
  <c r="H86" i="21"/>
  <c r="H87" i="21" s="1"/>
  <c r="K86" i="21"/>
  <c r="K87" i="21" s="1"/>
  <c r="G86" i="21"/>
  <c r="G87" i="21" s="1"/>
  <c r="L86" i="21"/>
  <c r="L87" i="21" s="1"/>
  <c r="M86" i="21"/>
  <c r="M87" i="21" s="1"/>
  <c r="I86" i="21"/>
  <c r="I87" i="21" s="1"/>
  <c r="J86" i="21"/>
  <c r="J87" i="21" s="1"/>
  <c r="D84" i="21"/>
  <c r="E86" i="21"/>
  <c r="E87" i="21" s="1"/>
  <c r="B96" i="19"/>
  <c r="B97" i="19" s="1"/>
  <c r="Q13" i="13" s="1"/>
  <c r="M89" i="16"/>
  <c r="P79" i="14"/>
  <c r="P90" i="14"/>
  <c r="O90" i="14"/>
  <c r="Q90" i="14"/>
  <c r="R90" i="14"/>
  <c r="N79" i="14"/>
  <c r="Q79" i="14"/>
  <c r="R79" i="14"/>
  <c r="O79" i="14"/>
  <c r="I79" i="14"/>
  <c r="H79" i="14"/>
  <c r="G79" i="14"/>
  <c r="E79" i="14"/>
  <c r="M79" i="14"/>
  <c r="J79" i="14"/>
  <c r="F79" i="14"/>
  <c r="L79" i="14"/>
  <c r="K79" i="14"/>
  <c r="M90" i="14"/>
  <c r="E90" i="14"/>
  <c r="L90" i="14"/>
  <c r="G90" i="14"/>
  <c r="F90" i="14"/>
  <c r="D90" i="14"/>
  <c r="K90" i="14"/>
  <c r="J90" i="14"/>
  <c r="H90" i="14"/>
  <c r="I90" i="14"/>
  <c r="F89" i="16" l="1"/>
  <c r="H89" i="21"/>
  <c r="I89" i="16"/>
  <c r="H89" i="17"/>
  <c r="E89" i="16"/>
  <c r="L89" i="16"/>
  <c r="G89" i="16"/>
  <c r="K89" i="18"/>
  <c r="H89" i="16"/>
  <c r="L89" i="17"/>
  <c r="I89" i="17"/>
  <c r="M89" i="18"/>
  <c r="F89" i="20"/>
  <c r="H89" i="20"/>
  <c r="F89" i="18"/>
  <c r="M89" i="20"/>
  <c r="D89" i="20"/>
  <c r="G89" i="17"/>
  <c r="L89" i="20"/>
  <c r="J89" i="18"/>
  <c r="E89" i="20"/>
  <c r="K89" i="17"/>
  <c r="D89" i="17"/>
  <c r="K89" i="16"/>
  <c r="G89" i="20"/>
  <c r="J89" i="17"/>
  <c r="E89" i="17"/>
  <c r="F89" i="21"/>
  <c r="H89" i="18"/>
  <c r="E89" i="21"/>
  <c r="M89" i="21"/>
  <c r="L89" i="18"/>
  <c r="G89" i="18"/>
  <c r="I89" i="20"/>
  <c r="D89" i="18"/>
  <c r="M89" i="17"/>
  <c r="I89" i="18"/>
  <c r="E89" i="18"/>
  <c r="J89" i="20"/>
  <c r="G89" i="21"/>
  <c r="L89" i="21"/>
  <c r="I89" i="21"/>
  <c r="D89" i="21"/>
  <c r="K89" i="21"/>
  <c r="J89" i="21"/>
  <c r="C77" i="14"/>
  <c r="C89" i="14" s="1"/>
  <c r="B96" i="16" l="1"/>
  <c r="B97" i="16" s="1"/>
  <c r="Q10" i="13" s="1"/>
  <c r="B96" i="17"/>
  <c r="B97" i="17" s="1"/>
  <c r="Q11" i="13" s="1"/>
  <c r="B96" i="18"/>
  <c r="B97" i="18" s="1"/>
  <c r="Q12" i="13" s="1"/>
  <c r="B96" i="20"/>
  <c r="B97" i="20" s="1"/>
  <c r="Q14" i="13" s="1"/>
  <c r="B96" i="21"/>
  <c r="B97" i="21" s="1"/>
  <c r="Q15" i="13" s="1"/>
  <c r="D82" i="14"/>
  <c r="D81" i="14"/>
  <c r="D83" i="14"/>
  <c r="P78" i="14"/>
  <c r="P86" i="14" s="1"/>
  <c r="P87" i="14" s="1"/>
  <c r="P89" i="14" s="1"/>
  <c r="R78" i="14"/>
  <c r="Q78" i="14"/>
  <c r="O78" i="14"/>
  <c r="N78" i="14"/>
  <c r="L78" i="14"/>
  <c r="M78" i="14"/>
  <c r="K78" i="14"/>
  <c r="I78" i="14"/>
  <c r="E78" i="14"/>
  <c r="J78" i="14"/>
  <c r="G78" i="14"/>
  <c r="F78" i="14"/>
  <c r="H78" i="14"/>
  <c r="K83" i="14"/>
  <c r="G83" i="14"/>
  <c r="I82" i="14"/>
  <c r="E82" i="14"/>
  <c r="I81" i="14"/>
  <c r="L81" i="14"/>
  <c r="H83" i="14"/>
  <c r="M82" i="14"/>
  <c r="G81" i="14"/>
  <c r="L82" i="14"/>
  <c r="M81" i="14"/>
  <c r="K82" i="14"/>
  <c r="F82" i="14"/>
  <c r="K81" i="14"/>
  <c r="J83" i="14"/>
  <c r="F83" i="14"/>
  <c r="H82" i="14"/>
  <c r="J81" i="14"/>
  <c r="F81" i="14"/>
  <c r="E83" i="14"/>
  <c r="M83" i="14"/>
  <c r="I83" i="14"/>
  <c r="G82" i="14"/>
  <c r="E81" i="14"/>
  <c r="J82" i="14"/>
  <c r="H81" i="14"/>
  <c r="L83" i="14"/>
  <c r="D84" i="14" l="1"/>
  <c r="D86" i="14"/>
  <c r="D87" i="14" s="1"/>
  <c r="D89" i="14" s="1"/>
  <c r="G84" i="14"/>
  <c r="E84" i="14"/>
  <c r="I84" i="14"/>
  <c r="M84" i="14"/>
  <c r="K84" i="14"/>
  <c r="H84" i="14"/>
  <c r="J86" i="14"/>
  <c r="J87" i="14" s="1"/>
  <c r="F86" i="14"/>
  <c r="F87" i="14" s="1"/>
  <c r="G86" i="14"/>
  <c r="G87" i="14" s="1"/>
  <c r="M86" i="14"/>
  <c r="M87" i="14" s="1"/>
  <c r="I86" i="14"/>
  <c r="I87" i="14" s="1"/>
  <c r="K86" i="14"/>
  <c r="K87" i="14" s="1"/>
  <c r="N86" i="14"/>
  <c r="N87" i="14" s="1"/>
  <c r="N89" i="14" s="1"/>
  <c r="O86" i="14"/>
  <c r="O87" i="14" s="1"/>
  <c r="O89" i="14" s="1"/>
  <c r="J84" i="14"/>
  <c r="Q86" i="14"/>
  <c r="Q87" i="14" s="1"/>
  <c r="Q89" i="14" s="1"/>
  <c r="L84" i="14"/>
  <c r="R86" i="14"/>
  <c r="R87" i="14" s="1"/>
  <c r="R89" i="14" s="1"/>
  <c r="E86" i="14"/>
  <c r="E87" i="14" s="1"/>
  <c r="F84" i="14"/>
  <c r="H86" i="14"/>
  <c r="H87" i="14" s="1"/>
  <c r="L86" i="14"/>
  <c r="L87" i="14" s="1"/>
  <c r="G89" i="14" l="1"/>
  <c r="F89" i="14"/>
  <c r="E89" i="14"/>
  <c r="H89" i="14"/>
  <c r="I89" i="14"/>
  <c r="K89" i="14"/>
  <c r="M89" i="14"/>
  <c r="J89" i="14"/>
  <c r="L89" i="14"/>
  <c r="B96" i="14" l="1"/>
  <c r="B42" i="12"/>
  <c r="B15" i="12"/>
  <c r="B32" i="14" s="1"/>
  <c r="B59" i="20" l="1"/>
  <c r="B59" i="17"/>
  <c r="B59" i="21"/>
  <c r="B59" i="18"/>
  <c r="B59" i="16"/>
  <c r="B59" i="19"/>
  <c r="B59" i="14"/>
  <c r="R9" i="13" s="1"/>
  <c r="R10" i="13" s="1"/>
  <c r="R11" i="13" s="1"/>
  <c r="R12" i="13" s="1"/>
  <c r="R13" i="13" s="1"/>
  <c r="R14" i="13" s="1"/>
  <c r="R15" i="13" s="1"/>
  <c r="B48" i="21"/>
  <c r="B48" i="17"/>
  <c r="B48" i="16"/>
  <c r="B48" i="18"/>
  <c r="B48" i="19"/>
  <c r="B48" i="20"/>
  <c r="B97" i="14"/>
  <c r="B52" i="18" l="1"/>
  <c r="B51" i="18"/>
  <c r="B51" i="21"/>
  <c r="B52" i="21"/>
  <c r="B64" i="14"/>
  <c r="S9" i="13" s="1"/>
  <c r="S10" i="13" s="1"/>
  <c r="S11" i="13" s="1"/>
  <c r="S12" i="13" s="1"/>
  <c r="S13" i="13" s="1"/>
  <c r="S14" i="13" s="1"/>
  <c r="S15" i="13" s="1"/>
  <c r="B63" i="18"/>
  <c r="B65" i="18"/>
  <c r="B64" i="18"/>
  <c r="B55" i="18"/>
  <c r="B52" i="17"/>
  <c r="B51" i="17"/>
  <c r="B65" i="14"/>
  <c r="T9" i="13" s="1"/>
  <c r="T10" i="13" s="1"/>
  <c r="T11" i="13" s="1"/>
  <c r="T12" i="13" s="1"/>
  <c r="T13" i="13" s="1"/>
  <c r="T14" i="13" s="1"/>
  <c r="T15" i="13" s="1"/>
  <c r="B64" i="21"/>
  <c r="B65" i="21"/>
  <c r="B63" i="21"/>
  <c r="B55" i="21"/>
  <c r="B51" i="16"/>
  <c r="B52" i="16"/>
  <c r="B64" i="19"/>
  <c r="B65" i="19"/>
  <c r="B63" i="19"/>
  <c r="B55" i="19"/>
  <c r="B65" i="17"/>
  <c r="B64" i="17"/>
  <c r="B63" i="17"/>
  <c r="B55" i="17"/>
  <c r="B51" i="19"/>
  <c r="B52" i="19"/>
  <c r="B63" i="16"/>
  <c r="B65" i="16"/>
  <c r="B64" i="16"/>
  <c r="B55" i="16"/>
  <c r="B52" i="20"/>
  <c r="B51" i="20"/>
  <c r="B64" i="20"/>
  <c r="B65" i="20"/>
  <c r="B63" i="20"/>
  <c r="B55" i="20"/>
  <c r="Q9" i="13"/>
  <c r="B49" i="14"/>
  <c r="B57" i="14"/>
  <c r="B51" i="14"/>
  <c r="B50" i="14"/>
  <c r="B102" i="19" l="1"/>
  <c r="W13" i="13" s="1"/>
  <c r="B100" i="19"/>
  <c r="U13" i="13" s="1"/>
  <c r="B101" i="19"/>
  <c r="V13" i="13" s="1"/>
  <c r="B100" i="21"/>
  <c r="U15" i="13" s="1"/>
  <c r="B101" i="21"/>
  <c r="V15" i="13" s="1"/>
  <c r="B102" i="21"/>
  <c r="W15" i="13" s="1"/>
  <c r="B101" i="18"/>
  <c r="V12" i="13" s="1"/>
  <c r="B100" i="18"/>
  <c r="U12" i="13" s="1"/>
  <c r="B102" i="18"/>
  <c r="W12" i="13" s="1"/>
  <c r="B100" i="16"/>
  <c r="U10" i="13" s="1"/>
  <c r="B102" i="16"/>
  <c r="W10" i="13" s="1"/>
  <c r="B101" i="16"/>
  <c r="V10" i="13" s="1"/>
  <c r="B102" i="17"/>
  <c r="W11" i="13" s="1"/>
  <c r="B100" i="17"/>
  <c r="U11" i="13" s="1"/>
  <c r="B101" i="17"/>
  <c r="V11" i="13" s="1"/>
  <c r="B101" i="20"/>
  <c r="V14" i="13" s="1"/>
  <c r="B100" i="20"/>
  <c r="U14" i="13" s="1"/>
  <c r="B102" i="20"/>
  <c r="W14" i="13" s="1"/>
  <c r="B102" i="14"/>
  <c r="W9" i="13" s="1"/>
  <c r="B100" i="14"/>
  <c r="U9" i="13" s="1"/>
  <c r="B101" i="14"/>
  <c r="V9" i="13" s="1"/>
  <c r="B52" i="14"/>
</calcChain>
</file>

<file path=xl/sharedStrings.xml><?xml version="1.0" encoding="utf-8"?>
<sst xmlns="http://schemas.openxmlformats.org/spreadsheetml/2006/main" count="1125" uniqueCount="188">
  <si>
    <t>Rekenblad referentiebedrag</t>
  </si>
  <si>
    <t>\\\\\\\\\\\\\\\\\\\\\\\\\\\\\\\\\\\\\\\\\\\\\\\\\\\\\\\\\\\\\\\\\\\\\\\\\\\\\\\\\\\\\\\\\\\\\\\\\\\\\\\\\\\\\\\\\\\\\\\\\\\\\\\\\\\\\\\\\\\\\\\\\\\\\\\\\\\\\\\\\\\\\\\\\\\\\\\\\\\\\\\\\\\\\\\\\\\\\\\\\\\\\\\\\\\\\\\\\\\\\\\\\\\\\\\\\\\\\\\\\\\\\\\\\\\\\\\\\\\\\\\\\\\\\\\\\\\\\\\\\\\\\\\\\\\\\\\\\\\\\\\\\\\\\\\\\\\\\\\\\\\\\\\\\\\\\\\\\\\\\\\\</t>
  </si>
  <si>
    <t>Contactinformatie</t>
  </si>
  <si>
    <t>Voor vragen gelinkt aan het rekenblad voor het referentiebedrag, gelieve het volgende mailadres te gebruiken:</t>
  </si>
  <si>
    <t>klimaatsprong@vlaio.be</t>
  </si>
  <si>
    <t>Kleurencode gebruikt voor de inputgegevens in het rekenblad</t>
  </si>
  <si>
    <t>Vaste inputwaardes die gebruikt worden in de berekende velden.</t>
  </si>
  <si>
    <t>Berekende of gekoppelde waardes.</t>
  </si>
  <si>
    <t>Versie</t>
  </si>
  <si>
    <t>Algemene parameters</t>
  </si>
  <si>
    <t>Technische parameters</t>
  </si>
  <si>
    <t>Omschrijving</t>
  </si>
  <si>
    <t>Waarde</t>
  </si>
  <si>
    <t>Eenheid</t>
  </si>
  <si>
    <t>Toelichting</t>
  </si>
  <si>
    <t>Plafond op prijs ETS1-emissierechten</t>
  </si>
  <si>
    <r>
      <t>€/tCO</t>
    </r>
    <r>
      <rPr>
        <vertAlign val="subscript"/>
        <sz val="12"/>
        <rFont val="Calibri"/>
        <family val="2"/>
        <scheme val="minor"/>
      </rPr>
      <t>2</t>
    </r>
  </si>
  <si>
    <t xml:space="preserve">Plafond op prijs ETS2 emissierechten </t>
  </si>
  <si>
    <t>Emissiefactor aardgas</t>
  </si>
  <si>
    <r>
      <t>kg CO</t>
    </r>
    <r>
      <rPr>
        <vertAlign val="subscript"/>
        <sz val="12"/>
        <rFont val="Calibri"/>
        <family val="2"/>
        <scheme val="minor"/>
      </rPr>
      <t>2</t>
    </r>
    <r>
      <rPr>
        <sz val="12"/>
        <rFont val="Calibri"/>
        <family val="2"/>
        <scheme val="minor"/>
      </rPr>
      <t>/GJ</t>
    </r>
    <r>
      <rPr>
        <vertAlign val="subscript"/>
        <sz val="12"/>
        <rFont val="Calibri"/>
        <family val="2"/>
        <scheme val="minor"/>
      </rPr>
      <t>OVW</t>
    </r>
  </si>
  <si>
    <r>
      <t>Standaard CO</t>
    </r>
    <r>
      <rPr>
        <i/>
        <vertAlign val="subscript"/>
        <sz val="12"/>
        <rFont val="Calibri"/>
        <family val="2"/>
        <scheme val="minor"/>
      </rPr>
      <t>2</t>
    </r>
    <r>
      <rPr>
        <i/>
        <sz val="12"/>
        <rFont val="Calibri"/>
        <family val="2"/>
        <scheme val="minor"/>
      </rPr>
      <t>-emissiefactor voor aardgas gepubliceerd door VEKA-VMM (2024).</t>
    </r>
  </si>
  <si>
    <r>
      <t>kg CO</t>
    </r>
    <r>
      <rPr>
        <vertAlign val="subscript"/>
        <sz val="12"/>
        <rFont val="Calibri"/>
        <family val="2"/>
        <scheme val="minor"/>
      </rPr>
      <t>2</t>
    </r>
    <r>
      <rPr>
        <sz val="12"/>
        <rFont val="Calibri"/>
        <family val="2"/>
        <scheme val="minor"/>
      </rPr>
      <t>/kWh</t>
    </r>
    <r>
      <rPr>
        <vertAlign val="subscript"/>
        <sz val="12"/>
        <rFont val="Calibri"/>
        <family val="2"/>
        <scheme val="minor"/>
      </rPr>
      <t>OVW</t>
    </r>
  </si>
  <si>
    <r>
      <t>Standaard CO</t>
    </r>
    <r>
      <rPr>
        <i/>
        <vertAlign val="subscript"/>
        <sz val="12"/>
        <rFont val="Calibri"/>
        <family val="2"/>
        <scheme val="minor"/>
      </rPr>
      <t>2</t>
    </r>
    <r>
      <rPr>
        <i/>
        <sz val="12"/>
        <rFont val="Calibri"/>
        <family val="2"/>
        <scheme val="minor"/>
      </rPr>
      <t>-emissiefactor voor aardgas gepubliceerd door VEKA-VMM (2024), omzetfactor GJ naar kWh x0,0036</t>
    </r>
  </si>
  <si>
    <t>Referentierendement gasstoomketel (ovbw)</t>
  </si>
  <si>
    <t>Ketelrendement t.o.v. de onderste verbrandingswaarde van aardgas</t>
  </si>
  <si>
    <t>Emissiefactor warmteproductie (gasstoomketel)</t>
  </si>
  <si>
    <r>
      <t>kg CO</t>
    </r>
    <r>
      <rPr>
        <vertAlign val="subscript"/>
        <sz val="12"/>
        <rFont val="Calibri"/>
        <family val="2"/>
        <scheme val="minor"/>
      </rPr>
      <t>2</t>
    </r>
    <r>
      <rPr>
        <sz val="12"/>
        <rFont val="Calibri"/>
        <family val="2"/>
        <scheme val="minor"/>
      </rPr>
      <t>/kWh</t>
    </r>
    <r>
      <rPr>
        <vertAlign val="subscript"/>
        <sz val="12"/>
        <rFont val="Calibri"/>
        <family val="2"/>
        <scheme val="minor"/>
      </rPr>
      <t>th</t>
    </r>
  </si>
  <si>
    <r>
      <t>CO</t>
    </r>
    <r>
      <rPr>
        <i/>
        <vertAlign val="subscript"/>
        <sz val="12"/>
        <rFont val="Calibri"/>
        <family val="2"/>
        <scheme val="minor"/>
      </rPr>
      <t>2</t>
    </r>
    <r>
      <rPr>
        <i/>
        <sz val="12"/>
        <rFont val="Calibri"/>
        <family val="2"/>
        <scheme val="minor"/>
      </rPr>
      <t>-emissiefactor voor warmteproductie op basis van een gasketel met rendement 90%.</t>
    </r>
  </si>
  <si>
    <t>Financiële parameters</t>
  </si>
  <si>
    <t>Steunperiode</t>
  </si>
  <si>
    <t>jaar</t>
  </si>
  <si>
    <t>Inflatie</t>
  </si>
  <si>
    <t>Streefdoel inflatie ECB op lange termijn</t>
  </si>
  <si>
    <t>Rendement op vreemd vermogen</t>
  </si>
  <si>
    <t>Vereist rendement op vreemd vermogen voor investeringen met een hoger risicoprofiel (Eindadvies SDE++ 2024)</t>
  </si>
  <si>
    <t>Rendement op eigen vermogen</t>
  </si>
  <si>
    <t>Vereist rendement op eigen vermogen voor investeringen met een hoger risicoprofiel (Eindadvies SDE++ 2024)</t>
  </si>
  <si>
    <t>Aandeel vreemd vermogen</t>
  </si>
  <si>
    <t>Gemiddeld aandeel eigen vermogen binnen de doelgroep (Belfirst)</t>
  </si>
  <si>
    <t>Aandeel eigen vermogen</t>
  </si>
  <si>
    <t>Gemiddeld aandeel vreemd vermogen binnen de doelgroep (Belfirst)</t>
  </si>
  <si>
    <t>Vennootschapsbelasting</t>
  </si>
  <si>
    <t>WACC - weighted average cost of capital</t>
  </si>
  <si>
    <t>WACC = (E/V x Re) + ((D/V x Rd) x (1 – T))</t>
  </si>
  <si>
    <t>E/V = aandeel eigen vermogen</t>
  </si>
  <si>
    <t>Re = rendement op eigen vermogen</t>
  </si>
  <si>
    <t>Rd = rendement op vreemd vermogen</t>
  </si>
  <si>
    <t>T = vennootschapsbelasting</t>
  </si>
  <si>
    <t>Langetermijnprijzen</t>
  </si>
  <si>
    <t>Langetermijngasprijs in bovenwaarde</t>
  </si>
  <si>
    <r>
      <rPr>
        <sz val="12"/>
        <color rgb="FF000000"/>
        <rFont val="Calibri"/>
        <family val="2"/>
        <scheme val="minor"/>
      </rPr>
      <t>€/kWh</t>
    </r>
    <r>
      <rPr>
        <vertAlign val="subscript"/>
        <sz val="12"/>
        <color rgb="FF000000"/>
        <rFont val="Calibri"/>
        <family val="2"/>
        <scheme val="minor"/>
      </rPr>
      <t>BVW</t>
    </r>
  </si>
  <si>
    <t>Gemiddelde reële prijzen gas 2025-2036 (bron: Elia adequacy studie / TTF futures), inclusief heffingen en netkosten</t>
  </si>
  <si>
    <t>Langetermijngasprijs in onderwaarde</t>
  </si>
  <si>
    <r>
      <t>€/kWh</t>
    </r>
    <r>
      <rPr>
        <vertAlign val="subscript"/>
        <sz val="12"/>
        <rFont val="Calibri"/>
        <family val="2"/>
        <scheme val="minor"/>
      </rPr>
      <t>OVW</t>
    </r>
  </si>
  <si>
    <t>Langetermijn elektriciteitsprijs</t>
  </si>
  <si>
    <r>
      <t>€/kWh</t>
    </r>
    <r>
      <rPr>
        <vertAlign val="subscript"/>
        <sz val="12"/>
        <color theme="1"/>
        <rFont val="Calibri"/>
        <family val="2"/>
        <scheme val="minor"/>
      </rPr>
      <t>e</t>
    </r>
  </si>
  <si>
    <t>Gemiddelde reële prijzen elektriciteit 2025-2036 op basis van ELIA adequacy study for Belgium (2024-2034)</t>
  </si>
  <si>
    <t>Langetermijn ETS1 prijs</t>
  </si>
  <si>
    <r>
      <t>€/tCO</t>
    </r>
    <r>
      <rPr>
        <vertAlign val="subscript"/>
        <sz val="12"/>
        <color theme="1"/>
        <rFont val="Calibri"/>
        <family val="2"/>
        <scheme val="minor"/>
      </rPr>
      <t>2</t>
    </r>
  </si>
  <si>
    <t>Gemiddelde verwachte ETS1 prijs 2025-2036 (bron: Klimaat- en energieverkenning 2024 - PBL Planbureau voor de Leefomgeving)</t>
  </si>
  <si>
    <t>Langetermijn ETS2 prijs</t>
  </si>
  <si>
    <t>Gemiddelde verwachte ETS2 prijs 2025-2036 (bron: Klimaat- en energieverkenning 2024 - PBL Planbureau voor de Leefomgeving)</t>
  </si>
  <si>
    <t>Technologie-afhankelijke parameters</t>
  </si>
  <si>
    <t>Technologie</t>
  </si>
  <si>
    <t>ID</t>
  </si>
  <si>
    <t>Inputvermogen</t>
  </si>
  <si>
    <t xml:space="preserve">Maximum thermisch rendement </t>
  </si>
  <si>
    <t>COP
coefficient of performance</t>
  </si>
  <si>
    <t>Maximaal aantal vollasturen per jaar</t>
  </si>
  <si>
    <t>Investerings-
kosten</t>
  </si>
  <si>
    <t>Onderhouds-
kosten</t>
  </si>
  <si>
    <t>Vermogen gerelateerde netkosten</t>
  </si>
  <si>
    <t>Correctiefactor netkost</t>
  </si>
  <si>
    <t>LT Marktprijs elektriciteit</t>
  </si>
  <si>
    <t>Netkosten op verbruik en heffingen elektriciteit</t>
  </si>
  <si>
    <t>Emissiefactor elektriciteit</t>
  </si>
  <si>
    <t>Economische levensduur</t>
  </si>
  <si>
    <t>Referentiebedrag</t>
  </si>
  <si>
    <t>Bodembedrag ETS1</t>
  </si>
  <si>
    <t>Bodembedrag ETS2</t>
  </si>
  <si>
    <t>Bodembedrag ETS2 nog niet in voege</t>
  </si>
  <si>
    <r>
      <t>Bodembedrag ETS1
(per ton CO</t>
    </r>
    <r>
      <rPr>
        <b/>
        <i/>
        <vertAlign val="subscript"/>
        <sz val="12"/>
        <rFont val="Calibri"/>
        <family val="2"/>
        <scheme val="minor"/>
      </rPr>
      <t>2</t>
    </r>
    <r>
      <rPr>
        <b/>
        <i/>
        <sz val="12"/>
        <rFont val="Calibri"/>
        <family val="2"/>
        <scheme val="minor"/>
      </rPr>
      <t>)</t>
    </r>
  </si>
  <si>
    <r>
      <t>Bodembedrag ETS2
(per ton CO</t>
    </r>
    <r>
      <rPr>
        <b/>
        <i/>
        <vertAlign val="subscript"/>
        <sz val="12"/>
        <rFont val="Calibri"/>
        <family val="2"/>
        <scheme val="minor"/>
      </rPr>
      <t>2</t>
    </r>
    <r>
      <rPr>
        <b/>
        <i/>
        <sz val="12"/>
        <rFont val="Calibri"/>
        <family val="2"/>
        <scheme val="minor"/>
      </rPr>
      <t>)</t>
    </r>
  </si>
  <si>
    <r>
      <t>Bodembedrag ETS2 nog niet in voege 
(per ton CO</t>
    </r>
    <r>
      <rPr>
        <b/>
        <i/>
        <vertAlign val="subscript"/>
        <sz val="12"/>
        <rFont val="Calibri"/>
        <family val="2"/>
        <scheme val="minor"/>
      </rPr>
      <t>2</t>
    </r>
    <r>
      <rPr>
        <b/>
        <i/>
        <sz val="12"/>
        <rFont val="Calibri"/>
        <family val="2"/>
        <scheme val="minor"/>
      </rPr>
      <t>)</t>
    </r>
  </si>
  <si>
    <r>
      <t>kW</t>
    </r>
    <r>
      <rPr>
        <vertAlign val="subscript"/>
        <sz val="12"/>
        <rFont val="Calibri"/>
        <family val="2"/>
        <scheme val="minor"/>
      </rPr>
      <t>e</t>
    </r>
  </si>
  <si>
    <t>uur</t>
  </si>
  <si>
    <t>€/kWth</t>
  </si>
  <si>
    <t>% investering</t>
  </si>
  <si>
    <t>€/kWe/jaar</t>
  </si>
  <si>
    <r>
      <t>€/kWh</t>
    </r>
    <r>
      <rPr>
        <vertAlign val="subscript"/>
        <sz val="12"/>
        <rFont val="Calibri"/>
        <family val="2"/>
        <scheme val="minor"/>
      </rPr>
      <t>e</t>
    </r>
  </si>
  <si>
    <r>
      <t>kg CO</t>
    </r>
    <r>
      <rPr>
        <vertAlign val="subscript"/>
        <sz val="12"/>
        <rFont val="Calibri"/>
        <family val="2"/>
        <scheme val="minor"/>
      </rPr>
      <t>2</t>
    </r>
    <r>
      <rPr>
        <sz val="12"/>
        <rFont val="Calibri"/>
        <family val="2"/>
        <scheme val="minor"/>
      </rPr>
      <t>/kWh</t>
    </r>
    <r>
      <rPr>
        <vertAlign val="subscript"/>
        <sz val="12"/>
        <rFont val="Calibri"/>
        <family val="2"/>
        <scheme val="minor"/>
      </rPr>
      <t>e</t>
    </r>
  </si>
  <si>
    <r>
      <t>€/ton CO</t>
    </r>
    <r>
      <rPr>
        <vertAlign val="subscript"/>
        <sz val="12"/>
        <color theme="1"/>
        <rFont val="Calibri"/>
        <family val="2"/>
        <scheme val="minor"/>
      </rPr>
      <t>2</t>
    </r>
  </si>
  <si>
    <r>
      <t>€/kWh</t>
    </r>
    <r>
      <rPr>
        <vertAlign val="subscript"/>
        <sz val="12"/>
        <color rgb="FF002E56"/>
        <rFont val="Calibri"/>
        <family val="2"/>
        <scheme val="minor"/>
      </rPr>
      <t>th</t>
    </r>
  </si>
  <si>
    <r>
      <t>€/ton CO</t>
    </r>
    <r>
      <rPr>
        <vertAlign val="subscript"/>
        <sz val="12"/>
        <color theme="1"/>
        <rFont val="Calibri"/>
        <family val="2"/>
        <scheme val="minor"/>
      </rPr>
      <t>4</t>
    </r>
  </si>
  <si>
    <t>E-boiler</t>
  </si>
  <si>
    <t>Warmtepomp (8.000 uur)</t>
  </si>
  <si>
    <t>Warmtepomp (5.500 uur)</t>
  </si>
  <si>
    <t>Warmtepomp (3.000 uur)</t>
  </si>
  <si>
    <t>MVR (8.000 uur)</t>
  </si>
  <si>
    <t>MVR (5.500 uur)</t>
  </si>
  <si>
    <t>MVR (3.000 uur)</t>
  </si>
  <si>
    <t>Onderbouwing paramaters: zie hoofsteuk 8 t.e.m. 10 van het toelichtingsdocument</t>
  </si>
  <si>
    <t>Inputgegevens</t>
  </si>
  <si>
    <t xml:space="preserve">Referentieinstallatie </t>
  </si>
  <si>
    <r>
      <t>kW</t>
    </r>
    <r>
      <rPr>
        <vertAlign val="subscript"/>
        <sz val="12"/>
        <color theme="1"/>
        <rFont val="Calibri"/>
        <family val="2"/>
        <scheme val="minor"/>
      </rPr>
      <t>e</t>
    </r>
  </si>
  <si>
    <t>Thermisch rendement</t>
  </si>
  <si>
    <t>%</t>
  </si>
  <si>
    <t>Outputvermogen</t>
  </si>
  <si>
    <r>
      <t>kW</t>
    </r>
    <r>
      <rPr>
        <vertAlign val="subscript"/>
        <sz val="12"/>
        <color theme="1"/>
        <rFont val="Calibri"/>
        <family val="2"/>
        <scheme val="minor"/>
      </rPr>
      <t>th</t>
    </r>
  </si>
  <si>
    <t>COP</t>
  </si>
  <si>
    <t>-</t>
  </si>
  <si>
    <t>Jaargemiddelde COP</t>
  </si>
  <si>
    <t xml:space="preserve">Vollasturen </t>
  </si>
  <si>
    <t>uur/jaar</t>
  </si>
  <si>
    <t xml:space="preserve">Elektriciteitsgebruik </t>
  </si>
  <si>
    <r>
      <t>MWh</t>
    </r>
    <r>
      <rPr>
        <vertAlign val="subscript"/>
        <sz val="12"/>
        <color theme="1"/>
        <rFont val="Calibri"/>
        <family val="2"/>
        <scheme val="minor"/>
      </rPr>
      <t>e</t>
    </r>
    <r>
      <rPr>
        <sz val="12"/>
        <color theme="1"/>
        <rFont val="Calibri"/>
        <family val="2"/>
        <scheme val="minor"/>
      </rPr>
      <t>/jaar</t>
    </r>
  </si>
  <si>
    <t>Kosten</t>
  </si>
  <si>
    <t>- Investeringskosten output gebaseerd</t>
  </si>
  <si>
    <r>
      <t>€/kW</t>
    </r>
    <r>
      <rPr>
        <vertAlign val="subscript"/>
        <sz val="12"/>
        <color theme="1"/>
        <rFont val="Calibri"/>
        <family val="2"/>
        <scheme val="minor"/>
      </rPr>
      <t>th</t>
    </r>
  </si>
  <si>
    <t>Totale investeringskosten</t>
  </si>
  <si>
    <t>€</t>
  </si>
  <si>
    <t>- Vermogen gerelateerde netkosten</t>
  </si>
  <si>
    <t>- Operationele onderhoudskosten</t>
  </si>
  <si>
    <t>€/jaar</t>
  </si>
  <si>
    <t>Totaal jaarlijkse vaste kosten</t>
  </si>
  <si>
    <r>
      <t>€/kWh</t>
    </r>
    <r>
      <rPr>
        <vertAlign val="subscript"/>
        <sz val="12"/>
        <color rgb="FF000000"/>
        <rFont val="Calibri"/>
        <family val="2"/>
        <scheme val="minor"/>
      </rPr>
      <t>e</t>
    </r>
  </si>
  <si>
    <t>- Verbruik gerelateerde netkosten en heffingen elektriciteit</t>
  </si>
  <si>
    <t>Totale elektriciteitsprijs</t>
  </si>
  <si>
    <t>Emissiefactoren (EF)</t>
  </si>
  <si>
    <t xml:space="preserve">Eenheid </t>
  </si>
  <si>
    <t xml:space="preserve">Emissiefactor van aardgas </t>
  </si>
  <si>
    <r>
      <t>kg CO</t>
    </r>
    <r>
      <rPr>
        <vertAlign val="subscript"/>
        <sz val="12"/>
        <color theme="1"/>
        <rFont val="Calibri"/>
        <family val="2"/>
        <scheme val="minor"/>
      </rPr>
      <t>2</t>
    </r>
    <r>
      <rPr>
        <sz val="12"/>
        <color theme="1"/>
        <rFont val="Calibri"/>
        <family val="2"/>
        <scheme val="minor"/>
      </rPr>
      <t>/kWh</t>
    </r>
  </si>
  <si>
    <r>
      <t>Standaard CO</t>
    </r>
    <r>
      <rPr>
        <i/>
        <vertAlign val="subscript"/>
        <sz val="12"/>
        <rFont val="Calibri"/>
        <family val="2"/>
        <scheme val="minor"/>
      </rPr>
      <t>2</t>
    </r>
    <r>
      <rPr>
        <i/>
        <sz val="12"/>
        <rFont val="Calibri"/>
        <family val="2"/>
        <scheme val="minor"/>
      </rPr>
      <t>-emissiefactor voor aardgas gepubliceerd door VEKA-VMM (2024). Uitgedrukt in kWh onderste verbrandingswaarde.</t>
    </r>
  </si>
  <si>
    <t xml:space="preserve">Emissiefactor van warmteproductie </t>
  </si>
  <si>
    <r>
      <t>kg CO</t>
    </r>
    <r>
      <rPr>
        <vertAlign val="subscript"/>
        <sz val="12"/>
        <color theme="1"/>
        <rFont val="Calibri"/>
        <family val="2"/>
        <scheme val="minor"/>
      </rPr>
      <t>2</t>
    </r>
    <r>
      <rPr>
        <sz val="12"/>
        <color theme="1"/>
        <rFont val="Calibri"/>
        <family val="2"/>
        <scheme val="minor"/>
      </rPr>
      <t>/kWh</t>
    </r>
    <r>
      <rPr>
        <vertAlign val="subscript"/>
        <sz val="12"/>
        <color theme="1"/>
        <rFont val="Calibri"/>
        <family val="2"/>
        <scheme val="minor"/>
      </rPr>
      <t>th</t>
    </r>
  </si>
  <si>
    <t>EF aardgas / rendement gasketel (90%)</t>
  </si>
  <si>
    <t>Emissiefactor van gebruik elektriciteit</t>
  </si>
  <si>
    <r>
      <t>kg CO</t>
    </r>
    <r>
      <rPr>
        <vertAlign val="subscript"/>
        <sz val="12"/>
        <color theme="1"/>
        <rFont val="Calibri"/>
        <family val="2"/>
        <scheme val="minor"/>
      </rPr>
      <t>2</t>
    </r>
    <r>
      <rPr>
        <sz val="12"/>
        <color theme="1"/>
        <rFont val="Calibri"/>
        <family val="2"/>
        <scheme val="minor"/>
      </rPr>
      <t>/kWh</t>
    </r>
    <r>
      <rPr>
        <vertAlign val="subscript"/>
        <sz val="12"/>
        <color theme="1"/>
        <rFont val="Calibri"/>
        <family val="2"/>
        <scheme val="minor"/>
      </rPr>
      <t>e</t>
    </r>
  </si>
  <si>
    <t>Vermeden emissies</t>
  </si>
  <si>
    <t>EF warmteproductie -(inputvermogen/outputvermogen) x EF elektriciteit</t>
  </si>
  <si>
    <t>- Rendement op vreemd vermogen</t>
  </si>
  <si>
    <t>- Rendement op eigen vermogen</t>
  </si>
  <si>
    <t>- Aandeel vreemd vermogen</t>
  </si>
  <si>
    <t>- Aandeel eigen vermogen</t>
  </si>
  <si>
    <t>LT Correctiebedrag (voor referentiebedrag)</t>
  </si>
  <si>
    <t>- Aandeel gas LT correctiebedrag</t>
  </si>
  <si>
    <t>Bepaald op basis van LT gasprijs en 90% rendement gasstoomketel</t>
  </si>
  <si>
    <t>- Aandeel ETS1 LT correctiebedrag</t>
  </si>
  <si>
    <t>Bepaald op basis van LT ETS1-prijs en 90% rendement gasstoomketel</t>
  </si>
  <si>
    <t>- Aandeel ETS2 LT correctiebedrag</t>
  </si>
  <si>
    <t>Bepaald op basis van LT ETS2-prijs en 90% rendement gasstoomketel</t>
  </si>
  <si>
    <t>LT Correctiebedrag ETS1</t>
  </si>
  <si>
    <t>LT Correctiebedrag ETS2</t>
  </si>
  <si>
    <t>Bodembedragen (voor jaarlijks steunbedrag)</t>
  </si>
  <si>
    <t>- Aandeel gas bodembedrag</t>
  </si>
  <si>
    <t>Bepaald op basis van 2/3 LT gasprijs en 90% rendement gasstoomketel</t>
  </si>
  <si>
    <t>- Aandeel ETS1 bodembedrag</t>
  </si>
  <si>
    <t>- Aandeel ETS2 bodembedrag</t>
  </si>
  <si>
    <t xml:space="preserve">Bodembedrag ETS-bedrijven </t>
  </si>
  <si>
    <t>Bodembedrag niet-ETS bedrijven</t>
  </si>
  <si>
    <t>Bodembedrag niet-ETS bedrijven ETS2 nog niet in voege</t>
  </si>
  <si>
    <t>Berekening referentiebedrag</t>
  </si>
  <si>
    <t>Jaar</t>
  </si>
  <si>
    <t>Inflator</t>
  </si>
  <si>
    <t>Investering</t>
  </si>
  <si>
    <t xml:space="preserve">Vaste Operationele kosten </t>
  </si>
  <si>
    <t xml:space="preserve">Variabele Operationele kosten </t>
  </si>
  <si>
    <t xml:space="preserve">Afschrijvingen en Schulden </t>
  </si>
  <si>
    <t>Afschrijving</t>
  </si>
  <si>
    <t>- Rente</t>
  </si>
  <si>
    <t>- Aflossing</t>
  </si>
  <si>
    <t>Totale lasten lening</t>
  </si>
  <si>
    <t xml:space="preserve">Belastingen </t>
  </si>
  <si>
    <t>Belastbaar inkomen</t>
  </si>
  <si>
    <t xml:space="preserve">Kasstroom </t>
  </si>
  <si>
    <t xml:space="preserve">Kasstroom na belasting </t>
  </si>
  <si>
    <t xml:space="preserve">Afzet gecorrigeerd i.f.v. vennootschapsbelasting </t>
  </si>
  <si>
    <t>Basisbedrag</t>
  </si>
  <si>
    <r>
      <t>€/kWh</t>
    </r>
    <r>
      <rPr>
        <vertAlign val="subscript"/>
        <sz val="12"/>
        <rFont val="Calibri"/>
        <family val="2"/>
      </rPr>
      <t>th</t>
    </r>
  </si>
  <si>
    <r>
      <t>€/ton CO</t>
    </r>
    <r>
      <rPr>
        <b/>
        <vertAlign val="subscript"/>
        <sz val="12"/>
        <color theme="0"/>
        <rFont val="Calibri"/>
        <family val="2"/>
      </rPr>
      <t>2</t>
    </r>
  </si>
  <si>
    <r>
      <t>Dit rekenblad berekent het referentiebedrag per technologie. Het referentiebedrag (€/vermeden ton CO</t>
    </r>
    <r>
      <rPr>
        <vertAlign val="subscript"/>
        <sz val="12"/>
        <color theme="1"/>
        <rFont val="Calibri"/>
        <family val="2"/>
        <scheme val="minor"/>
      </rPr>
      <t>2</t>
    </r>
    <r>
      <rPr>
        <sz val="12"/>
        <color theme="1"/>
        <rFont val="Calibri"/>
        <family val="2"/>
        <scheme val="minor"/>
      </rPr>
      <t>) is de referentiekostprijs voor de vermindering van de CO</t>
    </r>
    <r>
      <rPr>
        <vertAlign val="subscript"/>
        <sz val="12"/>
        <color theme="1"/>
        <rFont val="Calibri"/>
        <family val="2"/>
        <scheme val="minor"/>
      </rPr>
      <t>2</t>
    </r>
    <r>
      <rPr>
        <sz val="12"/>
        <color theme="1"/>
        <rFont val="Calibri"/>
        <family val="2"/>
        <scheme val="minor"/>
      </rPr>
      <t xml:space="preserve">-uitstoot van een bepaalde technologie. Het is tevens het maximale aanvraagbedrag waarvoor er steun aangevraagd kan worden voor deze technologie. Het referentiebedrag ligt vast voor de hele looptijd van de steun. 
Dit bedrag is verschillend per technologie en kan verder worden opgesplitst in functie van het maximaal aantal vollasturen van de installatie. Elk jaar wordt slechts de emissiereductie tot het maximaal aantal vollasturen van het referentiebedrag gesteund (zie Toelichtingsdocumente 3.1.2 Referentiebedrag). </t>
    </r>
  </si>
  <si>
    <t>investeringskosten, vaste en variabele operationele kosten, vollasturen, emissiefactoren en financiële parameters.</t>
  </si>
  <si>
    <t>- Elektriciteitskost lange termijn</t>
  </si>
  <si>
    <r>
      <t>€/kW</t>
    </r>
    <r>
      <rPr>
        <vertAlign val="subscript"/>
        <sz val="12"/>
        <color theme="1"/>
        <rFont val="Calibri"/>
        <family val="2"/>
        <scheme val="minor"/>
      </rPr>
      <t>e</t>
    </r>
    <r>
      <rPr>
        <sz val="12"/>
        <color theme="1"/>
        <rFont val="Calibri"/>
        <family val="2"/>
        <scheme val="minor"/>
      </rPr>
      <t>/jaar</t>
    </r>
  </si>
  <si>
    <t xml:space="preserve">Doel van het rekenblad referentiebedrag </t>
  </si>
  <si>
    <t>Rekenblad ontwikkelaars</t>
  </si>
  <si>
    <t>De template is ontwikkeld door VLAIO in samenwerking met VITO.</t>
  </si>
  <si>
    <t xml:space="preserve">Het referentiebedrag wordt per technologie bepaald op basis van de volgende parameters: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</si>
</sst>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00"/>
    <numFmt numFmtId="165" formatCode="0.0%"/>
    <numFmt numFmtId="166" formatCode="0.0000"/>
    <numFmt numFmtId="167" formatCode="#,##0.0"/>
    <numFmt numFmtId="168" formatCode="#,##0.000"/>
    <numFmt numFmtId="169" formatCode="#,##0.0000"/>
    <numFmt numFmtId="170" formatCode="#,##0.00000"/>
    <numFmt numFmtId="171" formatCode="0.00000"/>
  </numFmts>
  <fonts count="55" x14ac:knownFonts="1">
    <font>
      <sz val="11"/>
      <color theme="1"/>
      <name val="Calibri"/>
      <family val="2"/>
      <scheme val="minor"/>
    </font>
    <font>
      <sz val="9"/>
      <color theme="1"/>
      <name val="Verdana"/>
      <family val="2"/>
    </font>
    <font>
      <b/>
      <sz val="9"/>
      <color theme="1"/>
      <name val="Verdana"/>
      <family val="2"/>
    </font>
    <font>
      <sz val="11"/>
      <color rgb="FF002E56"/>
      <name val="Verdana"/>
      <family val="2"/>
    </font>
    <font>
      <sz val="9"/>
      <color rgb="FF002E56"/>
      <name val="Verdana"/>
      <family val="2"/>
    </font>
    <font>
      <i/>
      <sz val="11"/>
      <color rgb="FF7F7F7F"/>
      <name val="Calibri"/>
      <family val="2"/>
      <scheme val="minor"/>
    </font>
    <font>
      <u/>
      <sz val="11"/>
      <color theme="10"/>
      <name val="Calibri"/>
      <family val="2"/>
      <scheme val="minor"/>
    </font>
    <font>
      <sz val="9"/>
      <name val="Verdana"/>
      <family val="2"/>
    </font>
    <font>
      <sz val="8"/>
      <name val="Calibri"/>
      <family val="2"/>
      <scheme val="minor"/>
    </font>
    <font>
      <sz val="11"/>
      <color theme="1"/>
      <name val="Calibri"/>
      <family val="2"/>
      <scheme val="minor"/>
    </font>
    <font>
      <sz val="9"/>
      <color theme="1"/>
      <name val="Verdana"/>
      <family val="2"/>
    </font>
    <font>
      <sz val="9"/>
      <color rgb="FF009B48"/>
      <name val="Verdana"/>
      <family val="2"/>
    </font>
    <font>
      <sz val="11"/>
      <color rgb="FF009B48"/>
      <name val="Calibri"/>
      <family val="2"/>
      <scheme val="minor"/>
    </font>
    <font>
      <sz val="12"/>
      <color theme="1"/>
      <name val="Calibri"/>
      <family val="2"/>
    </font>
    <font>
      <sz val="12"/>
      <color rgb="FF000000"/>
      <name val="Calibri"/>
      <family val="2"/>
    </font>
    <font>
      <sz val="12"/>
      <name val="Calibri"/>
      <family val="2"/>
    </font>
    <font>
      <i/>
      <sz val="11"/>
      <name val="Calibri"/>
      <family val="2"/>
      <scheme val="minor"/>
    </font>
    <font>
      <b/>
      <sz val="12"/>
      <color theme="1"/>
      <name val="Calibri"/>
      <family val="2"/>
      <scheme val="minor"/>
    </font>
    <font>
      <sz val="12"/>
      <name val="Calibri"/>
      <family val="2"/>
      <scheme val="minor"/>
    </font>
    <font>
      <sz val="12"/>
      <color theme="1"/>
      <name val="Calibri"/>
      <family val="2"/>
      <scheme val="minor"/>
    </font>
    <font>
      <vertAlign val="subscript"/>
      <sz val="12"/>
      <name val="Calibri"/>
      <family val="2"/>
      <scheme val="minor"/>
    </font>
    <font>
      <i/>
      <sz val="12"/>
      <name val="Calibri"/>
      <family val="2"/>
      <scheme val="minor"/>
    </font>
    <font>
      <i/>
      <vertAlign val="subscript"/>
      <sz val="12"/>
      <name val="Calibri"/>
      <family val="2"/>
      <scheme val="minor"/>
    </font>
    <font>
      <b/>
      <sz val="14"/>
      <name val="Calibri"/>
      <family val="2"/>
      <scheme val="minor"/>
    </font>
    <font>
      <b/>
      <i/>
      <sz val="12"/>
      <color theme="1"/>
      <name val="Calibri"/>
      <family val="2"/>
      <scheme val="minor"/>
    </font>
    <font>
      <b/>
      <i/>
      <sz val="12"/>
      <name val="Calibri"/>
      <family val="2"/>
      <scheme val="minor"/>
    </font>
    <font>
      <i/>
      <sz val="12"/>
      <color theme="1"/>
      <name val="Calibri"/>
      <family val="2"/>
      <scheme val="minor"/>
    </font>
    <font>
      <b/>
      <i/>
      <sz val="12"/>
      <color theme="1"/>
      <name val="Calibri"/>
      <family val="2"/>
    </font>
    <font>
      <i/>
      <sz val="12"/>
      <color theme="1"/>
      <name val="Calibri"/>
      <family val="2"/>
    </font>
    <font>
      <i/>
      <sz val="9"/>
      <color theme="1"/>
      <name val="Verdana"/>
      <family val="2"/>
    </font>
    <font>
      <vertAlign val="subscript"/>
      <sz val="12"/>
      <color theme="1"/>
      <name val="Calibri"/>
      <family val="2"/>
      <scheme val="minor"/>
    </font>
    <font>
      <i/>
      <sz val="8"/>
      <color theme="1"/>
      <name val="Verdana"/>
      <family val="2"/>
    </font>
    <font>
      <sz val="26"/>
      <color theme="0"/>
      <name val="Calibri Light"/>
      <family val="2"/>
      <scheme val="major"/>
    </font>
    <font>
      <b/>
      <sz val="12"/>
      <color rgb="FF002E56"/>
      <name val="Calibri"/>
      <family val="2"/>
      <scheme val="minor"/>
    </font>
    <font>
      <i/>
      <sz val="12"/>
      <color rgb="FF7F7F7F"/>
      <name val="Calibri"/>
      <family val="2"/>
      <scheme val="minor"/>
    </font>
    <font>
      <sz val="12"/>
      <color rgb="FFFF0000"/>
      <name val="Calibri"/>
      <family val="2"/>
      <scheme val="minor"/>
    </font>
    <font>
      <sz val="12"/>
      <color rgb="FF000000"/>
      <name val="Calibri"/>
      <family val="2"/>
      <scheme val="minor"/>
    </font>
    <font>
      <vertAlign val="subscript"/>
      <sz val="12"/>
      <color rgb="FF000000"/>
      <name val="Calibri"/>
      <family val="2"/>
      <scheme val="minor"/>
    </font>
    <font>
      <sz val="12"/>
      <color rgb="FF00A249"/>
      <name val="Calibri"/>
      <family val="2"/>
      <scheme val="minor"/>
    </font>
    <font>
      <vertAlign val="subscript"/>
      <sz val="12"/>
      <color rgb="FF002E56"/>
      <name val="Calibri"/>
      <family val="2"/>
      <scheme val="minor"/>
    </font>
    <font>
      <sz val="12"/>
      <color rgb="FF009B48"/>
      <name val="Calibri"/>
      <family val="2"/>
      <scheme val="minor"/>
    </font>
    <font>
      <sz val="12"/>
      <color rgb="FFEAEDF2"/>
      <name val="Calibri"/>
      <family val="2"/>
      <scheme val="minor"/>
    </font>
    <font>
      <i/>
      <sz val="12"/>
      <color rgb="FFFF0000"/>
      <name val="Calibri"/>
      <family val="2"/>
      <scheme val="minor"/>
    </font>
    <font>
      <sz val="22"/>
      <name val="Calibri"/>
      <family val="2"/>
      <scheme val="minor"/>
    </font>
    <font>
      <b/>
      <sz val="12"/>
      <name val="Calibri"/>
      <family val="2"/>
      <scheme val="minor"/>
    </font>
    <font>
      <b/>
      <sz val="12"/>
      <name val="Calibri"/>
      <family val="2"/>
    </font>
    <font>
      <b/>
      <sz val="12"/>
      <color theme="0"/>
      <name val="Calibri"/>
      <family val="2"/>
    </font>
    <font>
      <vertAlign val="subscript"/>
      <sz val="12"/>
      <name val="Calibri"/>
      <family val="2"/>
    </font>
    <font>
      <b/>
      <i/>
      <sz val="12"/>
      <name val="Calibri"/>
      <family val="2"/>
    </font>
    <font>
      <b/>
      <vertAlign val="subscript"/>
      <sz val="12"/>
      <color theme="0"/>
      <name val="Calibri"/>
      <family val="2"/>
    </font>
    <font>
      <u/>
      <sz val="12"/>
      <color theme="10"/>
      <name val="Calibri"/>
      <family val="2"/>
      <scheme val="minor"/>
    </font>
    <font>
      <u/>
      <sz val="12"/>
      <color rgb="FFFF0000"/>
      <name val="Calibri"/>
      <family val="2"/>
      <scheme val="minor"/>
    </font>
    <font>
      <b/>
      <sz val="12"/>
      <name val="Calibri"/>
      <family val="2"/>
    </font>
    <font>
      <b/>
      <i/>
      <vertAlign val="subscript"/>
      <sz val="12"/>
      <name val="Calibri"/>
      <family val="2"/>
      <scheme val="minor"/>
    </font>
    <font>
      <sz val="12"/>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DF2"/>
        <bgColor indexed="64"/>
      </patternFill>
    </fill>
    <fill>
      <patternFill patternType="solid">
        <fgColor rgb="FFFFFFFF"/>
        <bgColor rgb="FF000000"/>
      </patternFill>
    </fill>
    <fill>
      <patternFill patternType="solid">
        <fgColor rgb="FFEAEDF2"/>
        <bgColor rgb="FF000000"/>
      </patternFill>
    </fill>
    <fill>
      <patternFill patternType="solid">
        <fgColor rgb="FF009B48"/>
        <bgColor indexed="64"/>
      </patternFill>
    </fill>
  </fills>
  <borders count="4">
    <border>
      <left/>
      <right/>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9" fontId="9" fillId="0" borderId="0" applyFont="0" applyFill="0" applyBorder="0" applyAlignment="0" applyProtection="0"/>
  </cellStyleXfs>
  <cellXfs count="170">
    <xf numFmtId="0" fontId="0" fillId="0" borderId="0" xfId="0"/>
    <xf numFmtId="0" fontId="1" fillId="2" borderId="0" xfId="0" applyFont="1" applyFill="1"/>
    <xf numFmtId="0" fontId="2" fillId="2" borderId="0" xfId="0" applyFont="1" applyFill="1"/>
    <xf numFmtId="0" fontId="1" fillId="2" borderId="0" xfId="0" applyFont="1" applyFill="1" applyAlignment="1">
      <alignment horizontal="center"/>
    </xf>
    <xf numFmtId="3" fontId="1" fillId="2" borderId="0" xfId="0" applyNumberFormat="1" applyFont="1" applyFill="1" applyAlignment="1">
      <alignment horizontal="center"/>
    </xf>
    <xf numFmtId="3" fontId="1" fillId="2" borderId="0" xfId="0" applyNumberFormat="1" applyFont="1" applyFill="1"/>
    <xf numFmtId="0" fontId="1" fillId="2" borderId="0" xfId="0" applyFont="1" applyFill="1" applyAlignment="1">
      <alignment horizontal="left"/>
    </xf>
    <xf numFmtId="0" fontId="1" fillId="2" borderId="0" xfId="0" applyFont="1" applyFill="1" applyAlignment="1">
      <alignment horizontal="right"/>
    </xf>
    <xf numFmtId="164" fontId="0" fillId="2" borderId="0" xfId="0" applyNumberFormat="1" applyFill="1" applyAlignment="1">
      <alignment horizontal="center"/>
    </xf>
    <xf numFmtId="3" fontId="1" fillId="2" borderId="0" xfId="0" applyNumberFormat="1" applyFont="1" applyFill="1" applyAlignment="1">
      <alignment horizontal="right"/>
    </xf>
    <xf numFmtId="0" fontId="4" fillId="2" borderId="0" xfId="0" applyFont="1" applyFill="1"/>
    <xf numFmtId="0" fontId="1" fillId="2" borderId="0" xfId="0" applyFont="1" applyFill="1" applyAlignment="1">
      <alignment vertical="center"/>
    </xf>
    <xf numFmtId="0" fontId="1" fillId="2" borderId="0" xfId="0" applyFont="1" applyFill="1" applyAlignment="1">
      <alignment horizontal="center" vertical="center"/>
    </xf>
    <xf numFmtId="0" fontId="5" fillId="2" borderId="0" xfId="1" applyFill="1" applyAlignment="1">
      <alignment vertical="center"/>
    </xf>
    <xf numFmtId="0" fontId="1" fillId="0" borderId="0" xfId="0" applyFont="1" applyAlignment="1">
      <alignment vertical="center"/>
    </xf>
    <xf numFmtId="0" fontId="7" fillId="2" borderId="0" xfId="0" applyFont="1" applyFill="1" applyAlignment="1">
      <alignment horizontal="left"/>
    </xf>
    <xf numFmtId="0" fontId="4" fillId="2" borderId="0" xfId="0" applyFont="1" applyFill="1" applyAlignment="1">
      <alignment horizontal="left" vertical="center"/>
    </xf>
    <xf numFmtId="0" fontId="4" fillId="2" borderId="0" xfId="0" applyFont="1" applyFill="1" applyAlignment="1">
      <alignment vertical="center"/>
    </xf>
    <xf numFmtId="0" fontId="1" fillId="2" borderId="0" xfId="0" applyFont="1" applyFill="1" applyAlignment="1">
      <alignment horizontal="left" vertical="center"/>
    </xf>
    <xf numFmtId="0" fontId="10" fillId="2" borderId="0" xfId="0" applyFont="1" applyFill="1" applyAlignment="1">
      <alignment vertical="center"/>
    </xf>
    <xf numFmtId="0" fontId="4" fillId="0" borderId="0" xfId="0" applyFont="1"/>
    <xf numFmtId="0" fontId="1" fillId="0" borderId="0" xfId="0" applyFont="1"/>
    <xf numFmtId="0" fontId="3" fillId="2" borderId="0" xfId="0" applyFont="1" applyFill="1" applyAlignment="1">
      <alignment vertical="center"/>
    </xf>
    <xf numFmtId="0" fontId="4" fillId="2" borderId="0" xfId="0" applyFont="1" applyFill="1" applyAlignment="1">
      <alignment horizontal="center" vertical="center"/>
    </xf>
    <xf numFmtId="0" fontId="4" fillId="0" borderId="0" xfId="0" applyFont="1" applyAlignment="1">
      <alignment vertical="center"/>
    </xf>
    <xf numFmtId="0" fontId="11" fillId="2" borderId="0" xfId="0" applyFont="1" applyFill="1"/>
    <xf numFmtId="0" fontId="12" fillId="0" borderId="0" xfId="0" applyFont="1"/>
    <xf numFmtId="0" fontId="13" fillId="2" borderId="0" xfId="0" applyFont="1" applyFill="1" applyAlignment="1">
      <alignment horizontal="left" vertical="center"/>
    </xf>
    <xf numFmtId="0" fontId="13" fillId="2" borderId="0" xfId="0" applyFont="1" applyFill="1" applyAlignment="1">
      <alignment vertical="center"/>
    </xf>
    <xf numFmtId="0" fontId="14" fillId="5" borderId="0" xfId="0" applyFont="1" applyFill="1"/>
    <xf numFmtId="3" fontId="13" fillId="4" borderId="0" xfId="0" applyNumberFormat="1" applyFont="1" applyFill="1" applyAlignment="1">
      <alignment horizontal="center" vertical="center"/>
    </xf>
    <xf numFmtId="10" fontId="14" fillId="6" borderId="0" xfId="0" applyNumberFormat="1" applyFont="1" applyFill="1" applyAlignment="1">
      <alignment horizontal="center"/>
    </xf>
    <xf numFmtId="0" fontId="15" fillId="2" borderId="0" xfId="0" applyFont="1" applyFill="1" applyAlignment="1">
      <alignment horizontal="left" vertical="center"/>
    </xf>
    <xf numFmtId="10" fontId="13" fillId="2" borderId="0" xfId="0" applyNumberFormat="1" applyFont="1" applyFill="1" applyAlignment="1">
      <alignment horizontal="center" vertical="center"/>
    </xf>
    <xf numFmtId="0" fontId="16" fillId="2" borderId="0" xfId="1" applyFont="1" applyFill="1" applyAlignment="1">
      <alignment vertical="center"/>
    </xf>
    <xf numFmtId="0" fontId="7" fillId="2" borderId="0" xfId="0" applyFont="1" applyFill="1" applyAlignment="1">
      <alignment horizontal="left" vertical="center"/>
    </xf>
    <xf numFmtId="0" fontId="7" fillId="2" borderId="0" xfId="0" applyFont="1" applyFill="1" applyAlignment="1">
      <alignment vertical="center"/>
    </xf>
    <xf numFmtId="0" fontId="17" fillId="2" borderId="0" xfId="0" applyFont="1" applyFill="1" applyAlignment="1">
      <alignment horizontal="center" vertical="center"/>
    </xf>
    <xf numFmtId="0" fontId="18" fillId="2" borderId="0" xfId="0" applyFont="1" applyFill="1" applyAlignment="1">
      <alignment horizontal="left" vertical="center"/>
    </xf>
    <xf numFmtId="0" fontId="18" fillId="2" borderId="0" xfId="0" applyFont="1" applyFill="1" applyAlignment="1">
      <alignment vertical="center"/>
    </xf>
    <xf numFmtId="0" fontId="19" fillId="2" borderId="0" xfId="0" applyFont="1" applyFill="1" applyAlignment="1">
      <alignment vertical="center"/>
    </xf>
    <xf numFmtId="0" fontId="19" fillId="2" borderId="0" xfId="0" applyFont="1" applyFill="1" applyAlignment="1">
      <alignment horizontal="left" vertical="center"/>
    </xf>
    <xf numFmtId="4" fontId="19" fillId="4" borderId="0" xfId="0" applyNumberFormat="1" applyFont="1" applyFill="1" applyAlignment="1">
      <alignment horizontal="center" vertical="center"/>
    </xf>
    <xf numFmtId="0" fontId="21" fillId="2" borderId="0" xfId="1" applyFont="1" applyFill="1" applyAlignment="1">
      <alignment vertical="center"/>
    </xf>
    <xf numFmtId="168" fontId="19" fillId="2" borderId="0" xfId="0" applyNumberFormat="1" applyFont="1" applyFill="1" applyAlignment="1">
      <alignment horizontal="center" vertical="center"/>
    </xf>
    <xf numFmtId="9" fontId="19" fillId="4" borderId="0" xfId="0" applyNumberFormat="1" applyFont="1" applyFill="1" applyAlignment="1">
      <alignment horizontal="center" vertic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0" xfId="0" applyFont="1" applyAlignment="1">
      <alignment vertical="center"/>
    </xf>
    <xf numFmtId="0" fontId="24" fillId="2" borderId="0" xfId="0" applyFont="1" applyFill="1" applyAlignment="1">
      <alignment horizontal="left" vertical="center"/>
    </xf>
    <xf numFmtId="0" fontId="24" fillId="2" borderId="0" xfId="0" applyFont="1" applyFill="1" applyAlignment="1">
      <alignment horizontal="center" vertical="center"/>
    </xf>
    <xf numFmtId="0" fontId="25" fillId="2" borderId="0" xfId="0" applyFont="1" applyFill="1" applyAlignment="1">
      <alignment horizontal="left" vertical="center"/>
    </xf>
    <xf numFmtId="0" fontId="21" fillId="2" borderId="0" xfId="0" applyFont="1" applyFill="1" applyAlignment="1">
      <alignment horizontal="left" vertical="center"/>
    </xf>
    <xf numFmtId="0" fontId="21"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horizontal="left" vertical="center"/>
    </xf>
    <xf numFmtId="0" fontId="27" fillId="2" borderId="0" xfId="0" applyFont="1" applyFill="1" applyAlignment="1">
      <alignment horizontal="center" vertical="center"/>
    </xf>
    <xf numFmtId="0" fontId="28" fillId="2" borderId="0" xfId="0" applyFont="1" applyFill="1" applyAlignment="1">
      <alignment horizontal="left" vertical="center"/>
    </xf>
    <xf numFmtId="0" fontId="28" fillId="2" borderId="0" xfId="0" applyFont="1" applyFill="1" applyAlignment="1">
      <alignment vertical="center"/>
    </xf>
    <xf numFmtId="0" fontId="29" fillId="2" borderId="0" xfId="0" applyFont="1" applyFill="1" applyAlignment="1">
      <alignment vertical="center"/>
    </xf>
    <xf numFmtId="169" fontId="19" fillId="4" borderId="0" xfId="0" applyNumberFormat="1" applyFont="1" applyFill="1" applyAlignment="1">
      <alignment horizontal="center" vertical="center"/>
    </xf>
    <xf numFmtId="169" fontId="19" fillId="2" borderId="0" xfId="0" applyNumberFormat="1" applyFont="1" applyFill="1" applyAlignment="1">
      <alignment horizontal="center" vertical="center"/>
    </xf>
    <xf numFmtId="3" fontId="19" fillId="4" borderId="0" xfId="0" applyNumberFormat="1" applyFont="1" applyFill="1" applyAlignment="1">
      <alignment horizontal="center" vertical="center"/>
    </xf>
    <xf numFmtId="0" fontId="4" fillId="7" borderId="0" xfId="0" applyFont="1" applyFill="1" applyAlignment="1">
      <alignment horizontal="left" vertical="center"/>
    </xf>
    <xf numFmtId="0" fontId="4" fillId="7" borderId="0" xfId="0" applyFont="1" applyFill="1"/>
    <xf numFmtId="0" fontId="31" fillId="2" borderId="0" xfId="0" applyFont="1" applyFill="1" applyAlignment="1">
      <alignment vertical="center"/>
    </xf>
    <xf numFmtId="0" fontId="25" fillId="0" borderId="0" xfId="0" applyFont="1" applyAlignment="1">
      <alignment horizontal="left" vertical="top" wrapText="1"/>
    </xf>
    <xf numFmtId="0" fontId="25" fillId="0" borderId="0" xfId="0" applyFont="1" applyAlignment="1">
      <alignment vertical="center" wrapText="1"/>
    </xf>
    <xf numFmtId="0" fontId="18" fillId="0" borderId="0" xfId="0" applyFont="1" applyAlignment="1">
      <alignment horizontal="left" vertical="center" wrapText="1"/>
    </xf>
    <xf numFmtId="0" fontId="18" fillId="0" borderId="0" xfId="0" applyFont="1" applyAlignment="1">
      <alignment vertical="center" wrapText="1"/>
    </xf>
    <xf numFmtId="165" fontId="14" fillId="6" borderId="0" xfId="0" applyNumberFormat="1" applyFont="1" applyFill="1" applyAlignment="1">
      <alignment horizontal="center"/>
    </xf>
    <xf numFmtId="0" fontId="32" fillId="7" borderId="0" xfId="0" applyFont="1" applyFill="1" applyAlignment="1">
      <alignment horizontal="left" vertical="center"/>
    </xf>
    <xf numFmtId="0" fontId="19" fillId="0" borderId="0" xfId="0" applyFont="1" applyAlignment="1">
      <alignment vertical="center"/>
    </xf>
    <xf numFmtId="0" fontId="33" fillId="2" borderId="0" xfId="0" applyFont="1" applyFill="1" applyAlignment="1">
      <alignment vertical="center"/>
    </xf>
    <xf numFmtId="0" fontId="19" fillId="2" borderId="0" xfId="0" applyFont="1" applyFill="1" applyAlignment="1">
      <alignment horizontal="center" vertical="center"/>
    </xf>
    <xf numFmtId="0" fontId="17" fillId="2" borderId="0" xfId="0" applyFont="1" applyFill="1" applyAlignment="1">
      <alignment vertical="center"/>
    </xf>
    <xf numFmtId="0" fontId="34" fillId="2" borderId="0" xfId="1" applyFont="1" applyFill="1" applyAlignment="1">
      <alignment vertical="center"/>
    </xf>
    <xf numFmtId="3" fontId="19" fillId="2" borderId="0" xfId="0" applyNumberFormat="1" applyFont="1" applyFill="1" applyAlignment="1">
      <alignment horizontal="center" vertical="center"/>
    </xf>
    <xf numFmtId="167" fontId="19" fillId="4" borderId="0" xfId="0" applyNumberFormat="1" applyFont="1" applyFill="1" applyAlignment="1">
      <alignment horizontal="center" vertical="center"/>
    </xf>
    <xf numFmtId="0" fontId="19" fillId="2" borderId="0" xfId="0" quotePrefix="1" applyFont="1" applyFill="1" applyAlignment="1">
      <alignment vertical="center"/>
    </xf>
    <xf numFmtId="0" fontId="35" fillId="2" borderId="0" xfId="1" applyFont="1" applyFill="1" applyAlignment="1">
      <alignment vertical="center"/>
    </xf>
    <xf numFmtId="2" fontId="19" fillId="4" borderId="0" xfId="0" applyNumberFormat="1" applyFont="1" applyFill="1" applyAlignment="1">
      <alignment horizontal="center" vertical="center"/>
    </xf>
    <xf numFmtId="171" fontId="19" fillId="4" borderId="0" xfId="0" applyNumberFormat="1" applyFont="1" applyFill="1" applyAlignment="1">
      <alignment horizontal="center" vertical="center"/>
    </xf>
    <xf numFmtId="0" fontId="36" fillId="2" borderId="0" xfId="0" applyFont="1" applyFill="1" applyAlignment="1">
      <alignment vertical="center"/>
    </xf>
    <xf numFmtId="171" fontId="19" fillId="2" borderId="0" xfId="0" applyNumberFormat="1" applyFont="1" applyFill="1" applyAlignment="1">
      <alignment horizontal="center" vertical="center"/>
    </xf>
    <xf numFmtId="164" fontId="19" fillId="4" borderId="0" xfId="0" applyNumberFormat="1" applyFont="1" applyFill="1" applyAlignment="1">
      <alignment horizontal="center" vertical="center"/>
    </xf>
    <xf numFmtId="164" fontId="19" fillId="2" borderId="0" xfId="0" applyNumberFormat="1" applyFont="1" applyFill="1" applyAlignment="1">
      <alignment horizontal="center" vertical="center"/>
    </xf>
    <xf numFmtId="0" fontId="35" fillId="2" borderId="0" xfId="0" applyFont="1" applyFill="1" applyAlignment="1">
      <alignment vertical="center"/>
    </xf>
    <xf numFmtId="0" fontId="19" fillId="4" borderId="0" xfId="0" applyFont="1" applyFill="1" applyAlignment="1">
      <alignment horizontal="center" vertical="center"/>
    </xf>
    <xf numFmtId="0" fontId="38" fillId="2" borderId="0" xfId="0" applyFont="1" applyFill="1" applyAlignment="1">
      <alignment vertical="center"/>
    </xf>
    <xf numFmtId="10" fontId="19" fillId="4" borderId="0" xfId="0" applyNumberFormat="1" applyFont="1" applyFill="1" applyAlignment="1">
      <alignment horizontal="center" vertical="center"/>
    </xf>
    <xf numFmtId="3" fontId="19" fillId="2" borderId="0" xfId="0" applyNumberFormat="1" applyFont="1" applyFill="1" applyAlignment="1">
      <alignment horizontal="right" vertical="center"/>
    </xf>
    <xf numFmtId="2" fontId="19" fillId="2" borderId="0" xfId="0" applyNumberFormat="1" applyFont="1" applyFill="1" applyAlignment="1">
      <alignment horizontal="center" vertical="center"/>
    </xf>
    <xf numFmtId="166" fontId="19" fillId="2" borderId="0" xfId="0" applyNumberFormat="1" applyFont="1" applyFill="1" applyAlignment="1">
      <alignment horizontal="center" vertical="center"/>
    </xf>
    <xf numFmtId="0" fontId="34" fillId="0" borderId="0" xfId="1" applyFont="1" applyFill="1" applyAlignment="1">
      <alignment vertical="center"/>
    </xf>
    <xf numFmtId="0" fontId="19" fillId="2" borderId="0" xfId="0" applyFont="1" applyFill="1"/>
    <xf numFmtId="2" fontId="19" fillId="0" borderId="0" xfId="0" applyNumberFormat="1" applyFont="1" applyAlignment="1">
      <alignment horizontal="center" vertical="center"/>
    </xf>
    <xf numFmtId="166" fontId="19" fillId="0" borderId="0" xfId="0" applyNumberFormat="1" applyFont="1" applyAlignment="1">
      <alignment horizontal="center" vertical="center"/>
    </xf>
    <xf numFmtId="0" fontId="40" fillId="0" borderId="0" xfId="0" applyFont="1"/>
    <xf numFmtId="9" fontId="19" fillId="4" borderId="0" xfId="3" applyFont="1" applyFill="1" applyAlignment="1">
      <alignment horizontal="center" vertical="center"/>
    </xf>
    <xf numFmtId="167" fontId="41" fillId="4" borderId="0" xfId="0" quotePrefix="1" applyNumberFormat="1" applyFont="1" applyFill="1" applyAlignment="1">
      <alignment horizontal="center" vertical="center"/>
    </xf>
    <xf numFmtId="9" fontId="19" fillId="4" borderId="0" xfId="3" applyFont="1" applyFill="1" applyBorder="1" applyAlignment="1">
      <alignment horizontal="center" vertical="center"/>
    </xf>
    <xf numFmtId="170" fontId="19" fillId="4" borderId="0" xfId="0" applyNumberFormat="1" applyFont="1" applyFill="1" applyAlignment="1">
      <alignment horizontal="center" vertical="center"/>
    </xf>
    <xf numFmtId="9" fontId="41" fillId="4" borderId="0" xfId="3" applyFont="1" applyFill="1" applyAlignment="1">
      <alignment horizontal="center" vertical="center"/>
    </xf>
    <xf numFmtId="167" fontId="19" fillId="4" borderId="0" xfId="0" quotePrefix="1" applyNumberFormat="1" applyFont="1" applyFill="1" applyAlignment="1">
      <alignment horizontal="center" vertical="center"/>
    </xf>
    <xf numFmtId="0" fontId="40" fillId="2" borderId="0" xfId="0" applyFont="1" applyFill="1"/>
    <xf numFmtId="0" fontId="26" fillId="2" borderId="0" xfId="0" applyFont="1" applyFill="1"/>
    <xf numFmtId="0" fontId="26" fillId="2" borderId="0" xfId="0" applyFont="1" applyFill="1" applyAlignment="1">
      <alignment horizontal="left" vertical="center"/>
    </xf>
    <xf numFmtId="0" fontId="24" fillId="2" borderId="0" xfId="0" applyFont="1" applyFill="1" applyAlignment="1">
      <alignment vertical="center"/>
    </xf>
    <xf numFmtId="0" fontId="26" fillId="0" borderId="0" xfId="0" applyFont="1" applyAlignment="1">
      <alignment vertical="center"/>
    </xf>
    <xf numFmtId="0" fontId="42" fillId="2" borderId="0" xfId="0" applyFont="1" applyFill="1" applyAlignment="1">
      <alignment vertical="center"/>
    </xf>
    <xf numFmtId="10" fontId="19" fillId="0" borderId="0" xfId="0" applyNumberFormat="1" applyFont="1" applyAlignment="1">
      <alignment horizontal="center" vertical="center"/>
    </xf>
    <xf numFmtId="0" fontId="4" fillId="0" borderId="0" xfId="0" applyFont="1" applyAlignment="1">
      <alignment horizontal="left" vertical="center"/>
    </xf>
    <xf numFmtId="0" fontId="43" fillId="0" borderId="0" xfId="0" applyFont="1" applyAlignment="1">
      <alignment horizontal="left" vertical="center"/>
    </xf>
    <xf numFmtId="0" fontId="40" fillId="7" borderId="0" xfId="0" applyFont="1" applyFill="1"/>
    <xf numFmtId="0" fontId="36" fillId="5" borderId="0" xfId="0" applyFont="1" applyFill="1"/>
    <xf numFmtId="0" fontId="44" fillId="0" borderId="0" xfId="0" applyFont="1" applyAlignment="1">
      <alignment horizontal="left" vertical="center"/>
    </xf>
    <xf numFmtId="0" fontId="44" fillId="0" borderId="0" xfId="0" applyFont="1" applyAlignment="1">
      <alignment vertical="center"/>
    </xf>
    <xf numFmtId="0" fontId="19" fillId="0" borderId="0" xfId="0" applyFont="1"/>
    <xf numFmtId="0" fontId="13" fillId="0" borderId="0" xfId="0" applyFont="1" applyAlignment="1">
      <alignment vertical="center"/>
    </xf>
    <xf numFmtId="0" fontId="46" fillId="7" borderId="0" xfId="0" applyFont="1" applyFill="1" applyAlignment="1">
      <alignment vertical="center"/>
    </xf>
    <xf numFmtId="0" fontId="46" fillId="7" borderId="0" xfId="0" applyFont="1" applyFill="1" applyAlignment="1">
      <alignment horizontal="center" vertical="center"/>
    </xf>
    <xf numFmtId="0" fontId="45" fillId="2" borderId="0" xfId="0" applyFont="1" applyFill="1" applyAlignment="1">
      <alignment vertical="center"/>
    </xf>
    <xf numFmtId="0" fontId="15" fillId="2" borderId="0" xfId="0" applyFont="1" applyFill="1" applyAlignment="1">
      <alignment horizontal="center" vertical="center"/>
    </xf>
    <xf numFmtId="0" fontId="15" fillId="2" borderId="0" xfId="0" applyFont="1" applyFill="1" applyAlignment="1">
      <alignment vertical="center"/>
    </xf>
    <xf numFmtId="2" fontId="15" fillId="2" borderId="0" xfId="0" applyNumberFormat="1" applyFont="1" applyFill="1" applyAlignment="1">
      <alignment horizontal="center" vertical="center"/>
    </xf>
    <xf numFmtId="0" fontId="45" fillId="3" borderId="0" xfId="0" applyFont="1" applyFill="1" applyAlignment="1">
      <alignment vertical="center"/>
    </xf>
    <xf numFmtId="0" fontId="15" fillId="3" borderId="0" xfId="0" applyFont="1" applyFill="1" applyAlignment="1">
      <alignment horizontal="center" vertical="center"/>
    </xf>
    <xf numFmtId="3" fontId="15" fillId="2" borderId="0" xfId="0" applyNumberFormat="1" applyFont="1" applyFill="1" applyAlignment="1">
      <alignment vertical="center"/>
    </xf>
    <xf numFmtId="3" fontId="15" fillId="2" borderId="0" xfId="0" applyNumberFormat="1" applyFont="1" applyFill="1" applyAlignment="1">
      <alignment horizontal="right" vertical="center"/>
    </xf>
    <xf numFmtId="0" fontId="15" fillId="2" borderId="0" xfId="0" quotePrefix="1" applyFont="1" applyFill="1" applyAlignment="1">
      <alignment vertical="center"/>
    </xf>
    <xf numFmtId="0" fontId="45" fillId="2" borderId="0" xfId="0" applyFont="1" applyFill="1" applyAlignment="1">
      <alignment horizontal="center" vertical="center"/>
    </xf>
    <xf numFmtId="0" fontId="15" fillId="2" borderId="1" xfId="0" applyFont="1" applyFill="1" applyBorder="1" applyAlignment="1">
      <alignment vertical="center"/>
    </xf>
    <xf numFmtId="0" fontId="15" fillId="0" borderId="0" xfId="0" applyFont="1" applyAlignment="1">
      <alignment vertical="center"/>
    </xf>
    <xf numFmtId="0" fontId="45" fillId="0" borderId="0" xfId="0" applyFont="1" applyAlignment="1">
      <alignment vertical="center"/>
    </xf>
    <xf numFmtId="0" fontId="15" fillId="0" borderId="0" xfId="0" applyFont="1" applyAlignment="1">
      <alignment horizontal="center" vertical="center"/>
    </xf>
    <xf numFmtId="0" fontId="48" fillId="0" borderId="0" xfId="0" applyFont="1" applyAlignment="1">
      <alignment horizontal="center" vertical="center"/>
    </xf>
    <xf numFmtId="0" fontId="48" fillId="0" borderId="0" xfId="0" applyFont="1" applyAlignment="1">
      <alignment vertical="center"/>
    </xf>
    <xf numFmtId="166" fontId="15" fillId="0" borderId="0" xfId="0" applyNumberFormat="1" applyFont="1" applyAlignment="1">
      <alignment horizontal="center" vertical="center"/>
    </xf>
    <xf numFmtId="1" fontId="15" fillId="0" borderId="0" xfId="0" applyNumberFormat="1" applyFont="1" applyAlignment="1">
      <alignment horizontal="center" vertical="center"/>
    </xf>
    <xf numFmtId="0" fontId="7" fillId="2" borderId="0" xfId="0" applyFont="1" applyFill="1"/>
    <xf numFmtId="3" fontId="7" fillId="2" borderId="0" xfId="0" applyNumberFormat="1" applyFont="1" applyFill="1" applyAlignment="1">
      <alignment horizontal="center"/>
    </xf>
    <xf numFmtId="0" fontId="7" fillId="0" borderId="0" xfId="0" applyFont="1"/>
    <xf numFmtId="2" fontId="46" fillId="7" borderId="0" xfId="0" applyNumberFormat="1" applyFont="1" applyFill="1" applyAlignment="1">
      <alignment horizontal="center" vertical="center"/>
    </xf>
    <xf numFmtId="0" fontId="17" fillId="2" borderId="0" xfId="0" applyFont="1" applyFill="1"/>
    <xf numFmtId="0" fontId="38" fillId="2" borderId="0" xfId="0" applyFont="1" applyFill="1"/>
    <xf numFmtId="0" fontId="50" fillId="2" borderId="0" xfId="2" applyFont="1" applyFill="1"/>
    <xf numFmtId="0" fontId="51" fillId="2" borderId="0" xfId="2" applyFont="1" applyFill="1"/>
    <xf numFmtId="0" fontId="35" fillId="2" borderId="0" xfId="0" applyFont="1" applyFill="1"/>
    <xf numFmtId="0" fontId="19" fillId="4" borderId="0" xfId="0" applyFont="1" applyFill="1" applyAlignment="1">
      <alignment horizontal="center"/>
    </xf>
    <xf numFmtId="0" fontId="19" fillId="2" borderId="0" xfId="0" applyFont="1" applyFill="1" applyAlignment="1">
      <alignment horizontal="left"/>
    </xf>
    <xf numFmtId="0" fontId="21" fillId="0" borderId="0" xfId="1" applyFont="1" applyFill="1" applyAlignment="1">
      <alignment vertical="center"/>
    </xf>
    <xf numFmtId="0" fontId="35" fillId="0" borderId="0" xfId="0" applyFont="1" applyAlignment="1">
      <alignment vertical="center"/>
    </xf>
    <xf numFmtId="0" fontId="26" fillId="2" borderId="0" xfId="0" quotePrefix="1" applyFont="1" applyFill="1" applyAlignment="1">
      <alignment vertical="center"/>
    </xf>
    <xf numFmtId="0" fontId="52" fillId="2" borderId="0" xfId="0" applyFont="1" applyFill="1" applyAlignment="1">
      <alignment vertical="center"/>
    </xf>
    <xf numFmtId="0" fontId="19" fillId="2" borderId="0" xfId="0" applyFont="1" applyFill="1" applyAlignment="1">
      <alignment horizontal="center" vertical="center" wrapText="1"/>
    </xf>
    <xf numFmtId="169" fontId="19" fillId="2" borderId="0" xfId="0" applyNumberFormat="1" applyFont="1" applyFill="1" applyAlignment="1">
      <alignment horizontal="center" vertical="center" wrapText="1"/>
    </xf>
    <xf numFmtId="0" fontId="19" fillId="2" borderId="2" xfId="0" applyFont="1" applyFill="1" applyBorder="1" applyAlignment="1">
      <alignment horizontal="center"/>
    </xf>
    <xf numFmtId="0" fontId="19" fillId="2" borderId="0" xfId="0" applyFont="1" applyFill="1" applyAlignment="1">
      <alignment horizontal="center"/>
    </xf>
    <xf numFmtId="0" fontId="54" fillId="2" borderId="0" xfId="0" applyFont="1" applyFill="1" applyAlignment="1">
      <alignment horizontal="left" vertical="center"/>
    </xf>
    <xf numFmtId="164" fontId="19" fillId="2" borderId="3" xfId="0" applyNumberFormat="1" applyFont="1" applyFill="1" applyBorder="1" applyAlignment="1">
      <alignment horizontal="center"/>
    </xf>
    <xf numFmtId="14" fontId="1" fillId="2" borderId="0" xfId="0" applyNumberFormat="1" applyFont="1" applyFill="1"/>
    <xf numFmtId="0" fontId="19" fillId="2" borderId="0" xfId="0" applyFont="1" applyFill="1" applyAlignment="1">
      <alignment vertical="top" wrapText="1"/>
    </xf>
    <xf numFmtId="0" fontId="0" fillId="0" borderId="0" xfId="0" applyAlignment="1">
      <alignment vertical="top" wrapText="1"/>
    </xf>
    <xf numFmtId="0" fontId="11" fillId="2" borderId="0" xfId="0" applyFont="1" applyFill="1"/>
    <xf numFmtId="0" fontId="12" fillId="0" borderId="0" xfId="0" applyFont="1"/>
    <xf numFmtId="0" fontId="40" fillId="2" borderId="0" xfId="0" applyFont="1" applyFill="1"/>
    <xf numFmtId="0" fontId="40" fillId="0" borderId="0" xfId="0" applyFont="1"/>
    <xf numFmtId="0" fontId="19" fillId="0" borderId="0" xfId="0" applyFont="1"/>
    <xf numFmtId="0" fontId="0" fillId="0" borderId="0" xfId="0"/>
  </cellXfs>
  <cellStyles count="4">
    <cellStyle name="Hyperlink" xfId="2" builtinId="8"/>
    <cellStyle name="Procent" xfId="3" builtinId="5"/>
    <cellStyle name="Standaard" xfId="0" builtinId="0"/>
    <cellStyle name="Verklarende tekst" xfId="1" builtinId="53"/>
  </cellStyles>
  <dxfs count="38">
    <dxf>
      <font>
        <color theme="0"/>
      </font>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center" textRotation="0" indent="0" justifyLastLine="0" shrinkToFit="0" readingOrder="0"/>
    </dxf>
    <dxf>
      <font>
        <b val="0"/>
        <i val="0"/>
        <strike val="0"/>
        <condense val="0"/>
        <extend val="0"/>
        <outline val="0"/>
        <shadow val="0"/>
        <u val="none"/>
        <vertAlign val="baseline"/>
        <sz val="12"/>
        <color theme="1"/>
        <name val="Calibri"/>
        <family val="2"/>
        <scheme val="minor"/>
      </font>
      <numFmt numFmtId="170" formatCode="#,##0.00000"/>
      <fill>
        <patternFill patternType="solid">
          <fgColor indexed="64"/>
          <bgColor rgb="FFFFFF0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4" formatCode="#,##0.00"/>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4" formatCode="#,##0.00"/>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4" formatCode="#,##0.00"/>
      <fill>
        <patternFill patternType="solid">
          <fgColor indexed="64"/>
          <bgColor rgb="FFEAEDF2"/>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7" formatCode="#,##0.0"/>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center" textRotation="0" indent="0" justifyLastLine="0" shrinkToFit="0" readingOrder="0"/>
    </dxf>
    <dxf>
      <font>
        <b val="0"/>
        <i val="0"/>
        <strike val="0"/>
        <condense val="0"/>
        <extend val="0"/>
        <outline val="0"/>
        <shadow val="0"/>
        <u val="none"/>
        <vertAlign val="baseline"/>
        <sz val="12"/>
        <color theme="1"/>
        <name val="Calibri"/>
        <family val="2"/>
        <scheme val="minor"/>
      </font>
      <numFmt numFmtId="168" formatCode="#,##0.000"/>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8" formatCode="#,##0.000"/>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rgb="FFEAEDF2"/>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center" textRotation="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vertical="center" textRotation="0" indent="0" justifyLastLine="0" shrinkToFit="0" readingOrder="0"/>
    </dxf>
    <dxf>
      <font>
        <b/>
        <i val="0"/>
        <strike val="0"/>
        <condense val="0"/>
        <extend val="0"/>
        <outline val="0"/>
        <shadow val="0"/>
        <u val="none"/>
        <vertAlign val="baseline"/>
        <sz val="12"/>
        <color rgb="FF002E56"/>
        <name val="Calibri"/>
        <family val="2"/>
        <scheme val="minor"/>
      </font>
      <fill>
        <patternFill patternType="solid">
          <fgColor indexed="64"/>
          <bgColor theme="3" tint="0.79998168889431442"/>
        </patternFill>
      </fill>
      <alignment horizontal="left" vertical="top" textRotation="0" wrapText="1" indent="0" justifyLastLine="0" shrinkToFit="0" readingOrder="0"/>
    </dxf>
    <dxf>
      <border>
        <left/>
        <right/>
        <top/>
        <bottom/>
        <vertical/>
        <horizontal/>
      </border>
    </dxf>
  </dxfs>
  <tableStyles count="1" defaultTableStyle="TableStyleMedium2" defaultPivotStyle="PivotStyleLight16">
    <tableStyle name="Tabelstijl 1" pivot="0" count="1" xr9:uid="{F398BB77-C148-462C-8421-E52A14845E85}">
      <tableStyleElement type="wholeTable" dxfId="37"/>
    </tableStyle>
  </tableStyles>
  <colors>
    <mruColors>
      <color rgb="FFEAEDF2"/>
      <color rgb="FF009B48"/>
      <color rgb="FF00A249"/>
      <color rgb="FF002E56"/>
      <color rgb="FF2B78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12</xdr:col>
      <xdr:colOff>447675</xdr:colOff>
      <xdr:row>0</xdr:row>
      <xdr:rowOff>76200</xdr:rowOff>
    </xdr:from>
    <xdr:to>
      <xdr:col>14</xdr:col>
      <xdr:colOff>542925</xdr:colOff>
      <xdr:row>2</xdr:row>
      <xdr:rowOff>66880</xdr:rowOff>
    </xdr:to>
    <xdr:pic>
      <xdr:nvPicPr>
        <xdr:cNvPr id="7" name="Picture 1">
          <a:extLst>
            <a:ext uri="{FF2B5EF4-FFF2-40B4-BE49-F238E27FC236}">
              <a16:creationId xmlns:a16="http://schemas.microsoft.com/office/drawing/2014/main" id="{5D2D7041-0A0F-4F93-A396-004053B93E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15300" y="76200"/>
          <a:ext cx="1276350" cy="524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533400</xdr:colOff>
      <xdr:row>0</xdr:row>
      <xdr:rowOff>57150</xdr:rowOff>
    </xdr:from>
    <xdr:to>
      <xdr:col>12</xdr:col>
      <xdr:colOff>341999</xdr:colOff>
      <xdr:row>2</xdr:row>
      <xdr:rowOff>140316</xdr:rowOff>
    </xdr:to>
    <xdr:pic>
      <xdr:nvPicPr>
        <xdr:cNvPr id="8" name="Picture 2">
          <a:extLst>
            <a:ext uri="{FF2B5EF4-FFF2-40B4-BE49-F238E27FC236}">
              <a16:creationId xmlns:a16="http://schemas.microsoft.com/office/drawing/2014/main" id="{DBEFC434-76F2-4919-98F8-7BD85E1C5F97}"/>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artisticPhotocopy/>
                  </a14:imgEffect>
                  <a14:imgEffect>
                    <a14:colorTemperature colorTemp="5000"/>
                  </a14:imgEffect>
                  <a14:imgEffect>
                    <a14:saturation sat="0"/>
                  </a14:imgEffect>
                </a14:imgLayer>
              </a14:imgProps>
            </a:ext>
            <a:ext uri="{28A0092B-C50C-407E-A947-70E740481C1C}">
              <a14:useLocalDpi xmlns:a14="http://schemas.microsoft.com/office/drawing/2010/main" val="0"/>
            </a:ext>
          </a:extLst>
        </a:blip>
        <a:stretch>
          <a:fillRect/>
        </a:stretch>
      </xdr:blipFill>
      <xdr:spPr>
        <a:xfrm>
          <a:off x="6429375" y="57150"/>
          <a:ext cx="1580249" cy="6165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133350</xdr:colOff>
      <xdr:row>0</xdr:row>
      <xdr:rowOff>85725</xdr:rowOff>
    </xdr:from>
    <xdr:to>
      <xdr:col>12</xdr:col>
      <xdr:colOff>628650</xdr:colOff>
      <xdr:row>2</xdr:row>
      <xdr:rowOff>93838</xdr:rowOff>
    </xdr:to>
    <xdr:pic>
      <xdr:nvPicPr>
        <xdr:cNvPr id="2" name="Picture 1">
          <a:extLst>
            <a:ext uri="{FF2B5EF4-FFF2-40B4-BE49-F238E27FC236}">
              <a16:creationId xmlns:a16="http://schemas.microsoft.com/office/drawing/2014/main" id="{FF3D00A0-7146-4042-8188-AC24CBC444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5825" y="85725"/>
          <a:ext cx="1276350" cy="541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133350</xdr:colOff>
      <xdr:row>0</xdr:row>
      <xdr:rowOff>47625</xdr:rowOff>
    </xdr:from>
    <xdr:to>
      <xdr:col>11</xdr:col>
      <xdr:colOff>75307</xdr:colOff>
      <xdr:row>3</xdr:row>
      <xdr:rowOff>83126</xdr:rowOff>
    </xdr:to>
    <xdr:pic>
      <xdr:nvPicPr>
        <xdr:cNvPr id="3" name="Picture 2">
          <a:extLst>
            <a:ext uri="{FF2B5EF4-FFF2-40B4-BE49-F238E27FC236}">
              <a16:creationId xmlns:a16="http://schemas.microsoft.com/office/drawing/2014/main" id="{4C3627D4-AB39-4228-8A63-0771FEA1EA2E}"/>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artisticPhotocopy/>
                  </a14:imgEffect>
                  <a14:imgEffect>
                    <a14:colorTemperature colorTemp="5000"/>
                  </a14:imgEffect>
                  <a14:imgEffect>
                    <a14:saturation sat="0"/>
                  </a14:imgEffect>
                </a14:imgLayer>
              </a14:imgProps>
            </a:ext>
            <a:ext uri="{28A0092B-C50C-407E-A947-70E740481C1C}">
              <a14:useLocalDpi xmlns:a14="http://schemas.microsoft.com/office/drawing/2010/main" val="0"/>
            </a:ext>
          </a:extLst>
        </a:blip>
        <a:stretch>
          <a:fillRect/>
        </a:stretch>
      </xdr:blipFill>
      <xdr:spPr>
        <a:xfrm>
          <a:off x="10753725" y="47625"/>
          <a:ext cx="1504057" cy="749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478155</xdr:colOff>
      <xdr:row>0</xdr:row>
      <xdr:rowOff>104775</xdr:rowOff>
    </xdr:from>
    <xdr:to>
      <xdr:col>14</xdr:col>
      <xdr:colOff>1754505</xdr:colOff>
      <xdr:row>2</xdr:row>
      <xdr:rowOff>95455</xdr:rowOff>
    </xdr:to>
    <xdr:pic>
      <xdr:nvPicPr>
        <xdr:cNvPr id="2" name="Picture 1">
          <a:extLst>
            <a:ext uri="{FF2B5EF4-FFF2-40B4-BE49-F238E27FC236}">
              <a16:creationId xmlns:a16="http://schemas.microsoft.com/office/drawing/2014/main" id="{39A05406-BDCE-4037-B094-A799D638B2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5030" y="104775"/>
          <a:ext cx="1276350" cy="524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563880</xdr:colOff>
      <xdr:row>0</xdr:row>
      <xdr:rowOff>85725</xdr:rowOff>
    </xdr:from>
    <xdr:to>
      <xdr:col>14</xdr:col>
      <xdr:colOff>372479</xdr:colOff>
      <xdr:row>2</xdr:row>
      <xdr:rowOff>168891</xdr:rowOff>
    </xdr:to>
    <xdr:pic>
      <xdr:nvPicPr>
        <xdr:cNvPr id="3" name="Picture 2">
          <a:extLst>
            <a:ext uri="{FF2B5EF4-FFF2-40B4-BE49-F238E27FC236}">
              <a16:creationId xmlns:a16="http://schemas.microsoft.com/office/drawing/2014/main" id="{831FF368-EE1F-4855-9048-B249EA2B22D7}"/>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artisticPhotocopy/>
                  </a14:imgEffect>
                  <a14:imgEffect>
                    <a14:colorTemperature colorTemp="5000"/>
                  </a14:imgEffect>
                  <a14:imgEffect>
                    <a14:saturation sat="0"/>
                  </a14:imgEffect>
                </a14:imgLayer>
              </a14:imgProps>
            </a:ext>
            <a:ext uri="{28A0092B-C50C-407E-A947-70E740481C1C}">
              <a14:useLocalDpi xmlns:a14="http://schemas.microsoft.com/office/drawing/2010/main" val="0"/>
            </a:ext>
          </a:extLst>
        </a:blip>
        <a:stretch>
          <a:fillRect/>
        </a:stretch>
      </xdr:blipFill>
      <xdr:spPr>
        <a:xfrm>
          <a:off x="11889105" y="85725"/>
          <a:ext cx="1580249" cy="6165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508289</xdr:colOff>
      <xdr:row>0</xdr:row>
      <xdr:rowOff>75335</xdr:rowOff>
    </xdr:from>
    <xdr:to>
      <xdr:col>13</xdr:col>
      <xdr:colOff>803564</xdr:colOff>
      <xdr:row>2</xdr:row>
      <xdr:rowOff>83448</xdr:rowOff>
    </xdr:to>
    <xdr:pic>
      <xdr:nvPicPr>
        <xdr:cNvPr id="2" name="Picture 1">
          <a:extLst>
            <a:ext uri="{FF2B5EF4-FFF2-40B4-BE49-F238E27FC236}">
              <a16:creationId xmlns:a16="http://schemas.microsoft.com/office/drawing/2014/main" id="{B88585B2-DD6E-4475-B796-8EDA027315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76439" y="75335"/>
          <a:ext cx="1276350" cy="541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956993</xdr:colOff>
      <xdr:row>0</xdr:row>
      <xdr:rowOff>23380</xdr:rowOff>
    </xdr:from>
    <xdr:to>
      <xdr:col>12</xdr:col>
      <xdr:colOff>498900</xdr:colOff>
      <xdr:row>3</xdr:row>
      <xdr:rowOff>58881</xdr:rowOff>
    </xdr:to>
    <xdr:pic>
      <xdr:nvPicPr>
        <xdr:cNvPr id="5" name="Picture 2">
          <a:extLst>
            <a:ext uri="{FF2B5EF4-FFF2-40B4-BE49-F238E27FC236}">
              <a16:creationId xmlns:a16="http://schemas.microsoft.com/office/drawing/2014/main" id="{AC3D3E35-D7B9-4E94-94F6-5E75DA0B276C}"/>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artisticPhotocopy/>
                  </a14:imgEffect>
                  <a14:imgEffect>
                    <a14:colorTemperature colorTemp="5000"/>
                  </a14:imgEffect>
                  <a14:imgEffect>
                    <a14:saturation sat="0"/>
                  </a14:imgEffect>
                </a14:imgLayer>
              </a14:imgProps>
            </a:ext>
            <a:ext uri="{28A0092B-C50C-407E-A947-70E740481C1C}">
              <a14:useLocalDpi xmlns:a14="http://schemas.microsoft.com/office/drawing/2010/main" val="0"/>
            </a:ext>
          </a:extLst>
        </a:blip>
        <a:stretch>
          <a:fillRect/>
        </a:stretch>
      </xdr:blipFill>
      <xdr:spPr>
        <a:xfrm>
          <a:off x="10862993" y="23380"/>
          <a:ext cx="1504057" cy="749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76200</xdr:colOff>
      <xdr:row>0</xdr:row>
      <xdr:rowOff>85725</xdr:rowOff>
    </xdr:from>
    <xdr:to>
      <xdr:col>12</xdr:col>
      <xdr:colOff>571500</xdr:colOff>
      <xdr:row>2</xdr:row>
      <xdr:rowOff>93838</xdr:rowOff>
    </xdr:to>
    <xdr:pic>
      <xdr:nvPicPr>
        <xdr:cNvPr id="6" name="Picture 1">
          <a:extLst>
            <a:ext uri="{FF2B5EF4-FFF2-40B4-BE49-F238E27FC236}">
              <a16:creationId xmlns:a16="http://schemas.microsoft.com/office/drawing/2014/main" id="{109A968E-2060-46F8-92B9-B5576A701A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58675" y="85725"/>
          <a:ext cx="1276350" cy="541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57150</xdr:colOff>
      <xdr:row>0</xdr:row>
      <xdr:rowOff>38100</xdr:rowOff>
    </xdr:from>
    <xdr:to>
      <xdr:col>10</xdr:col>
      <xdr:colOff>776983</xdr:colOff>
      <xdr:row>3</xdr:row>
      <xdr:rowOff>73601</xdr:rowOff>
    </xdr:to>
    <xdr:pic>
      <xdr:nvPicPr>
        <xdr:cNvPr id="7" name="Picture 2">
          <a:extLst>
            <a:ext uri="{FF2B5EF4-FFF2-40B4-BE49-F238E27FC236}">
              <a16:creationId xmlns:a16="http://schemas.microsoft.com/office/drawing/2014/main" id="{28543209-5739-4C74-8A9E-E4B28CE2A835}"/>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artisticPhotocopy/>
                  </a14:imgEffect>
                  <a14:imgEffect>
                    <a14:colorTemperature colorTemp="5000"/>
                  </a14:imgEffect>
                  <a14:imgEffect>
                    <a14:saturation sat="0"/>
                  </a14:imgEffect>
                </a14:imgLayer>
              </a14:imgProps>
            </a:ext>
            <a:ext uri="{28A0092B-C50C-407E-A947-70E740481C1C}">
              <a14:useLocalDpi xmlns:a14="http://schemas.microsoft.com/office/drawing/2010/main" val="0"/>
            </a:ext>
          </a:extLst>
        </a:blip>
        <a:stretch>
          <a:fillRect/>
        </a:stretch>
      </xdr:blipFill>
      <xdr:spPr>
        <a:xfrm>
          <a:off x="10677525" y="38100"/>
          <a:ext cx="1500883" cy="749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95250</xdr:colOff>
      <xdr:row>0</xdr:row>
      <xdr:rowOff>76200</xdr:rowOff>
    </xdr:from>
    <xdr:to>
      <xdr:col>12</xdr:col>
      <xdr:colOff>590550</xdr:colOff>
      <xdr:row>2</xdr:row>
      <xdr:rowOff>84313</xdr:rowOff>
    </xdr:to>
    <xdr:pic>
      <xdr:nvPicPr>
        <xdr:cNvPr id="2" name="Picture 1">
          <a:extLst>
            <a:ext uri="{FF2B5EF4-FFF2-40B4-BE49-F238E27FC236}">
              <a16:creationId xmlns:a16="http://schemas.microsoft.com/office/drawing/2014/main" id="{DD36462A-7F7A-4FDE-8728-6D53D3C5D6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77725" y="76200"/>
          <a:ext cx="1276350" cy="541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38100</xdr:colOff>
      <xdr:row>0</xdr:row>
      <xdr:rowOff>28575</xdr:rowOff>
    </xdr:from>
    <xdr:to>
      <xdr:col>10</xdr:col>
      <xdr:colOff>761107</xdr:colOff>
      <xdr:row>3</xdr:row>
      <xdr:rowOff>64076</xdr:rowOff>
    </xdr:to>
    <xdr:pic>
      <xdr:nvPicPr>
        <xdr:cNvPr id="3" name="Picture 2">
          <a:extLst>
            <a:ext uri="{FF2B5EF4-FFF2-40B4-BE49-F238E27FC236}">
              <a16:creationId xmlns:a16="http://schemas.microsoft.com/office/drawing/2014/main" id="{90595B60-5F8F-4229-8B3D-E66C08100DFE}"/>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artisticPhotocopy/>
                  </a14:imgEffect>
                  <a14:imgEffect>
                    <a14:colorTemperature colorTemp="5000"/>
                  </a14:imgEffect>
                  <a14:imgEffect>
                    <a14:saturation sat="0"/>
                  </a14:imgEffect>
                </a14:imgLayer>
              </a14:imgProps>
            </a:ext>
            <a:ext uri="{28A0092B-C50C-407E-A947-70E740481C1C}">
              <a14:useLocalDpi xmlns:a14="http://schemas.microsoft.com/office/drawing/2010/main" val="0"/>
            </a:ext>
          </a:extLst>
        </a:blip>
        <a:stretch>
          <a:fillRect/>
        </a:stretch>
      </xdr:blipFill>
      <xdr:spPr>
        <a:xfrm>
          <a:off x="10658475" y="28575"/>
          <a:ext cx="1504057" cy="7498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95250</xdr:colOff>
      <xdr:row>0</xdr:row>
      <xdr:rowOff>76200</xdr:rowOff>
    </xdr:from>
    <xdr:to>
      <xdr:col>12</xdr:col>
      <xdr:colOff>590550</xdr:colOff>
      <xdr:row>2</xdr:row>
      <xdr:rowOff>84313</xdr:rowOff>
    </xdr:to>
    <xdr:pic>
      <xdr:nvPicPr>
        <xdr:cNvPr id="2" name="Picture 1">
          <a:extLst>
            <a:ext uri="{FF2B5EF4-FFF2-40B4-BE49-F238E27FC236}">
              <a16:creationId xmlns:a16="http://schemas.microsoft.com/office/drawing/2014/main" id="{B59F2296-47E9-47B0-A593-E60899C4FB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77725" y="76200"/>
          <a:ext cx="1276350" cy="541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38100</xdr:colOff>
      <xdr:row>0</xdr:row>
      <xdr:rowOff>38100</xdr:rowOff>
    </xdr:from>
    <xdr:to>
      <xdr:col>10</xdr:col>
      <xdr:colOff>761107</xdr:colOff>
      <xdr:row>3</xdr:row>
      <xdr:rowOff>73601</xdr:rowOff>
    </xdr:to>
    <xdr:pic>
      <xdr:nvPicPr>
        <xdr:cNvPr id="3" name="Picture 2">
          <a:extLst>
            <a:ext uri="{FF2B5EF4-FFF2-40B4-BE49-F238E27FC236}">
              <a16:creationId xmlns:a16="http://schemas.microsoft.com/office/drawing/2014/main" id="{30215393-33CE-45CD-AD8C-B6AB4F50399F}"/>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artisticPhotocopy/>
                  </a14:imgEffect>
                  <a14:imgEffect>
                    <a14:colorTemperature colorTemp="5000"/>
                  </a14:imgEffect>
                  <a14:imgEffect>
                    <a14:saturation sat="0"/>
                  </a14:imgEffect>
                </a14:imgLayer>
              </a14:imgProps>
            </a:ext>
            <a:ext uri="{28A0092B-C50C-407E-A947-70E740481C1C}">
              <a14:useLocalDpi xmlns:a14="http://schemas.microsoft.com/office/drawing/2010/main" val="0"/>
            </a:ext>
          </a:extLst>
        </a:blip>
        <a:stretch>
          <a:fillRect/>
        </a:stretch>
      </xdr:blipFill>
      <xdr:spPr>
        <a:xfrm>
          <a:off x="10658475" y="38100"/>
          <a:ext cx="1504057" cy="7498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142875</xdr:colOff>
      <xdr:row>0</xdr:row>
      <xdr:rowOff>76200</xdr:rowOff>
    </xdr:from>
    <xdr:to>
      <xdr:col>12</xdr:col>
      <xdr:colOff>638175</xdr:colOff>
      <xdr:row>2</xdr:row>
      <xdr:rowOff>84313</xdr:rowOff>
    </xdr:to>
    <xdr:pic>
      <xdr:nvPicPr>
        <xdr:cNvPr id="2" name="Picture 1">
          <a:extLst>
            <a:ext uri="{FF2B5EF4-FFF2-40B4-BE49-F238E27FC236}">
              <a16:creationId xmlns:a16="http://schemas.microsoft.com/office/drawing/2014/main" id="{9888D858-E1FB-4922-A539-AC5475DF2E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5350" y="76200"/>
          <a:ext cx="1276350" cy="541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57150</xdr:colOff>
      <xdr:row>0</xdr:row>
      <xdr:rowOff>28575</xdr:rowOff>
    </xdr:from>
    <xdr:to>
      <xdr:col>10</xdr:col>
      <xdr:colOff>780157</xdr:colOff>
      <xdr:row>3</xdr:row>
      <xdr:rowOff>64076</xdr:rowOff>
    </xdr:to>
    <xdr:pic>
      <xdr:nvPicPr>
        <xdr:cNvPr id="3" name="Picture 2">
          <a:extLst>
            <a:ext uri="{FF2B5EF4-FFF2-40B4-BE49-F238E27FC236}">
              <a16:creationId xmlns:a16="http://schemas.microsoft.com/office/drawing/2014/main" id="{6DFFE82C-B4ED-4A5F-8C13-2F3CEE996E5C}"/>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artisticPhotocopy/>
                  </a14:imgEffect>
                  <a14:imgEffect>
                    <a14:colorTemperature colorTemp="5000"/>
                  </a14:imgEffect>
                  <a14:imgEffect>
                    <a14:saturation sat="0"/>
                  </a14:imgEffect>
                </a14:imgLayer>
              </a14:imgProps>
            </a:ext>
            <a:ext uri="{28A0092B-C50C-407E-A947-70E740481C1C}">
              <a14:useLocalDpi xmlns:a14="http://schemas.microsoft.com/office/drawing/2010/main" val="0"/>
            </a:ext>
          </a:extLst>
        </a:blip>
        <a:stretch>
          <a:fillRect/>
        </a:stretch>
      </xdr:blipFill>
      <xdr:spPr>
        <a:xfrm>
          <a:off x="10677525" y="28575"/>
          <a:ext cx="1504057" cy="7498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123825</xdr:colOff>
      <xdr:row>0</xdr:row>
      <xdr:rowOff>95250</xdr:rowOff>
    </xdr:from>
    <xdr:to>
      <xdr:col>12</xdr:col>
      <xdr:colOff>619125</xdr:colOff>
      <xdr:row>2</xdr:row>
      <xdr:rowOff>103363</xdr:rowOff>
    </xdr:to>
    <xdr:pic>
      <xdr:nvPicPr>
        <xdr:cNvPr id="2" name="Picture 1">
          <a:extLst>
            <a:ext uri="{FF2B5EF4-FFF2-40B4-BE49-F238E27FC236}">
              <a16:creationId xmlns:a16="http://schemas.microsoft.com/office/drawing/2014/main" id="{4E842580-D4AE-4063-89FF-CF83F2441E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06300" y="95250"/>
          <a:ext cx="1276350" cy="541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0</xdr:row>
      <xdr:rowOff>19050</xdr:rowOff>
    </xdr:from>
    <xdr:to>
      <xdr:col>11</xdr:col>
      <xdr:colOff>18157</xdr:colOff>
      <xdr:row>3</xdr:row>
      <xdr:rowOff>54551</xdr:rowOff>
    </xdr:to>
    <xdr:pic>
      <xdr:nvPicPr>
        <xdr:cNvPr id="3" name="Picture 2">
          <a:extLst>
            <a:ext uri="{FF2B5EF4-FFF2-40B4-BE49-F238E27FC236}">
              <a16:creationId xmlns:a16="http://schemas.microsoft.com/office/drawing/2014/main" id="{8149A289-5B15-432F-A022-920AB0264AAE}"/>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artisticPhotocopy/>
                  </a14:imgEffect>
                  <a14:imgEffect>
                    <a14:colorTemperature colorTemp="5000"/>
                  </a14:imgEffect>
                  <a14:imgEffect>
                    <a14:saturation sat="0"/>
                  </a14:imgEffect>
                </a14:imgLayer>
              </a14:imgProps>
            </a:ext>
            <a:ext uri="{28A0092B-C50C-407E-A947-70E740481C1C}">
              <a14:useLocalDpi xmlns:a14="http://schemas.microsoft.com/office/drawing/2010/main" val="0"/>
            </a:ext>
          </a:extLst>
        </a:blip>
        <a:stretch>
          <a:fillRect/>
        </a:stretch>
      </xdr:blipFill>
      <xdr:spPr>
        <a:xfrm>
          <a:off x="10696575" y="19050"/>
          <a:ext cx="1504057" cy="7498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114300</xdr:colOff>
      <xdr:row>0</xdr:row>
      <xdr:rowOff>95250</xdr:rowOff>
    </xdr:from>
    <xdr:to>
      <xdr:col>12</xdr:col>
      <xdr:colOff>609600</xdr:colOff>
      <xdr:row>2</xdr:row>
      <xdr:rowOff>103363</xdr:rowOff>
    </xdr:to>
    <xdr:pic>
      <xdr:nvPicPr>
        <xdr:cNvPr id="2" name="Picture 1">
          <a:extLst>
            <a:ext uri="{FF2B5EF4-FFF2-40B4-BE49-F238E27FC236}">
              <a16:creationId xmlns:a16="http://schemas.microsoft.com/office/drawing/2014/main" id="{C78F6E2A-536F-4151-808F-C220ECFD8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96775" y="95250"/>
          <a:ext cx="1276350" cy="541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66675</xdr:colOff>
      <xdr:row>0</xdr:row>
      <xdr:rowOff>28575</xdr:rowOff>
    </xdr:from>
    <xdr:to>
      <xdr:col>11</xdr:col>
      <xdr:colOff>8632</xdr:colOff>
      <xdr:row>3</xdr:row>
      <xdr:rowOff>64076</xdr:rowOff>
    </xdr:to>
    <xdr:pic>
      <xdr:nvPicPr>
        <xdr:cNvPr id="3" name="Picture 2">
          <a:extLst>
            <a:ext uri="{FF2B5EF4-FFF2-40B4-BE49-F238E27FC236}">
              <a16:creationId xmlns:a16="http://schemas.microsoft.com/office/drawing/2014/main" id="{0D1D2152-0505-4C08-B2BE-C222E35CECFD}"/>
            </a:ext>
          </a:extLst>
        </xdr:cNvPr>
        <xdr:cNvPicPr>
          <a:picLocks noChangeAspect="1"/>
        </xdr:cNvPicPr>
      </xdr:nvPicPr>
      <xdr:blipFill>
        <a:blip xmlns:r="http://schemas.openxmlformats.org/officeDocument/2006/relationships" r:embed="rId2" cstate="print">
          <a:lum bright="70000" contrast="-70000"/>
          <a:extLst>
            <a:ext uri="{BEBA8EAE-BF5A-486C-A8C5-ECC9F3942E4B}">
              <a14:imgProps xmlns:a14="http://schemas.microsoft.com/office/drawing/2010/main">
                <a14:imgLayer r:embed="rId3">
                  <a14:imgEffect>
                    <a14:artisticPhotocopy/>
                  </a14:imgEffect>
                  <a14:imgEffect>
                    <a14:colorTemperature colorTemp="5000"/>
                  </a14:imgEffect>
                  <a14:imgEffect>
                    <a14:saturation sat="0"/>
                  </a14:imgEffect>
                </a14:imgLayer>
              </a14:imgProps>
            </a:ext>
            <a:ext uri="{28A0092B-C50C-407E-A947-70E740481C1C}">
              <a14:useLocalDpi xmlns:a14="http://schemas.microsoft.com/office/drawing/2010/main" val="0"/>
            </a:ext>
          </a:extLst>
        </a:blip>
        <a:stretch>
          <a:fillRect/>
        </a:stretch>
      </xdr:blipFill>
      <xdr:spPr>
        <a:xfrm>
          <a:off x="10687050" y="28575"/>
          <a:ext cx="1504057" cy="74987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BF8F88-B703-433F-861D-7ACA002C55AA}" name="tech_param" displayName="tech_param" ref="A6:N15" totalsRowShown="0" headerRowDxfId="36" dataDxfId="35">
  <tableColumns count="14">
    <tableColumn id="1" xr3:uid="{8EC5B3D1-D80F-4901-8808-16D0C986AD69}" name="Technologie" dataDxfId="34"/>
    <tableColumn id="3" xr3:uid="{A365D8A4-5BC3-4DD0-BB12-536F646ADF83}" name="ID" dataDxfId="33"/>
    <tableColumn id="12" xr3:uid="{FD125716-B3EF-43E7-80E8-4EBD55E3874E}" name="Inputvermogen" dataDxfId="32"/>
    <tableColumn id="10" xr3:uid="{53E895DF-A3CB-488E-89FB-5F0928D0C6D4}" name="Maximum thermisch rendement " dataDxfId="31"/>
    <tableColumn id="20" xr3:uid="{09658809-0E3C-428E-91A7-D5BAC321E848}" name="COP_x000a_coefficient of performance" dataDxfId="30"/>
    <tableColumn id="6" xr3:uid="{13C5B3D1-9407-4B2B-A828-A7E5DBBDC32C}" name="Maximaal aantal vollasturen per jaar" dataDxfId="29"/>
    <tableColumn id="14" xr3:uid="{448E2AC2-AA03-41E3-B80F-D0E5E574F802}" name="Investerings-_x000a_kosten" dataDxfId="28"/>
    <tableColumn id="15" xr3:uid="{BE6F3335-D880-421F-989F-D748F02096C8}" name="Onderhouds-_x000a_kosten" dataDxfId="27"/>
    <tableColumn id="16" xr3:uid="{29010375-F172-4E8E-A096-DBE28AE9472B}" name="Vermogen gerelateerde netkosten" dataDxfId="26"/>
    <tableColumn id="5" xr3:uid="{D085406C-BDDB-4923-9E91-C55A6D4A52CB}" name="Correctiefactor netkost" dataDxfId="25"/>
    <tableColumn id="17" xr3:uid="{3F9FF8EC-51A7-4144-AD2A-1A8A3C662176}" name="LT Marktprijs elektriciteit" dataDxfId="24"/>
    <tableColumn id="19" xr3:uid="{25975AF4-8DAF-47BA-96A0-424CD645BBC7}" name="Netkosten op verbruik en heffingen elektriciteit" dataDxfId="23"/>
    <tableColumn id="4" xr3:uid="{A03C1AFB-A5D1-4802-8786-FC1693A73091}" name="Emissiefactor elektriciteit" dataDxfId="22"/>
    <tableColumn id="8" xr3:uid="{D8407054-4C23-4E00-8569-17D647DA020B}" name="Economische levensduur" dataDxfId="21"/>
  </tableColumns>
  <tableStyleInfo name="Tabelstijl 1"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limaatsprong@vlaio.b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59DE1-AAE7-4DF4-ADD3-CE2CFC169BD0}">
  <sheetPr>
    <tabColor rgb="FF009B48"/>
  </sheetPr>
  <dimension ref="A1:O30"/>
  <sheetViews>
    <sheetView showGridLines="0" tabSelected="1" workbookViewId="0">
      <selection activeCell="D27" sqref="D27"/>
    </sheetView>
  </sheetViews>
  <sheetFormatPr defaultColWidth="8.88671875" defaultRowHeight="11.4" x14ac:dyDescent="0.2"/>
  <cols>
    <col min="1" max="1" width="11.44140625" style="1" customWidth="1"/>
    <col min="2" max="16384" width="8.88671875" style="1"/>
  </cols>
  <sheetData>
    <row r="1" spans="1:15" s="10" customFormat="1" ht="14.25" customHeight="1" x14ac:dyDescent="0.2">
      <c r="A1" s="64"/>
      <c r="B1" s="63"/>
      <c r="C1" s="63"/>
      <c r="D1" s="63"/>
      <c r="E1" s="63"/>
      <c r="F1" s="63"/>
      <c r="G1" s="63"/>
      <c r="H1" s="63"/>
      <c r="I1" s="63"/>
      <c r="J1" s="63"/>
      <c r="K1" s="63"/>
      <c r="L1" s="63"/>
      <c r="M1" s="63"/>
      <c r="N1" s="63"/>
      <c r="O1" s="63"/>
    </row>
    <row r="2" spans="1:15" s="16" customFormat="1" ht="28.2" customHeight="1" x14ac:dyDescent="0.3">
      <c r="A2" s="71" t="s">
        <v>0</v>
      </c>
      <c r="B2" s="63"/>
      <c r="C2" s="63"/>
      <c r="D2" s="63"/>
      <c r="E2" s="63"/>
      <c r="F2" s="63"/>
      <c r="G2" s="63"/>
      <c r="H2" s="63"/>
      <c r="I2" s="63"/>
      <c r="J2" s="63"/>
      <c r="K2" s="63"/>
      <c r="L2" s="63"/>
      <c r="M2" s="63"/>
      <c r="N2" s="63"/>
      <c r="O2" s="63"/>
    </row>
    <row r="3" spans="1:15" s="10" customFormat="1" ht="14.25" customHeight="1" x14ac:dyDescent="0.2">
      <c r="A3" s="64"/>
      <c r="B3" s="63"/>
      <c r="C3" s="63"/>
      <c r="D3" s="63"/>
      <c r="E3" s="63"/>
      <c r="F3" s="63"/>
      <c r="G3" s="63"/>
      <c r="H3" s="63"/>
      <c r="I3" s="63"/>
      <c r="J3" s="63"/>
      <c r="K3" s="63"/>
      <c r="L3" s="63"/>
      <c r="M3" s="63"/>
      <c r="N3" s="63"/>
      <c r="O3" s="63"/>
    </row>
    <row r="4" spans="1:15" s="95" customFormat="1" ht="14.25" customHeight="1" x14ac:dyDescent="0.3"/>
    <row r="5" spans="1:15" s="95" customFormat="1" ht="14.25" customHeight="1" x14ac:dyDescent="0.3"/>
    <row r="6" spans="1:15" s="48" customFormat="1" ht="14.25" customHeight="1" x14ac:dyDescent="0.3">
      <c r="A6" s="46" t="s">
        <v>184</v>
      </c>
      <c r="B6" s="47"/>
      <c r="C6" s="46"/>
      <c r="D6" s="46"/>
      <c r="E6" s="46"/>
      <c r="F6" s="46"/>
      <c r="G6" s="46"/>
      <c r="H6" s="46"/>
      <c r="I6" s="46"/>
      <c r="J6" s="46"/>
      <c r="K6" s="46"/>
    </row>
    <row r="7" spans="1:15" ht="14.25" customHeight="1" x14ac:dyDescent="0.3">
      <c r="A7" s="164" t="s">
        <v>1</v>
      </c>
      <c r="B7" s="165"/>
      <c r="C7" s="165"/>
      <c r="D7" s="165"/>
      <c r="E7" s="165"/>
      <c r="F7" s="165"/>
      <c r="G7" s="165"/>
      <c r="H7" s="165"/>
      <c r="I7" s="165"/>
      <c r="J7" s="165"/>
      <c r="K7" s="165"/>
      <c r="L7" s="165"/>
      <c r="M7" s="165"/>
      <c r="N7" s="165"/>
      <c r="O7" s="165"/>
    </row>
    <row r="8" spans="1:15" ht="14.25" customHeight="1" x14ac:dyDescent="0.3">
      <c r="A8" s="25"/>
      <c r="B8" s="26"/>
      <c r="C8" s="26"/>
      <c r="D8" s="26"/>
      <c r="E8" s="26"/>
      <c r="F8" s="26"/>
      <c r="G8" s="26"/>
      <c r="H8" s="26"/>
      <c r="I8" s="26"/>
      <c r="J8" s="26"/>
      <c r="K8" s="26"/>
      <c r="L8" s="26"/>
      <c r="M8" s="26"/>
      <c r="N8" s="26"/>
      <c r="O8" s="26"/>
    </row>
    <row r="9" spans="1:15" s="95" customFormat="1" ht="109.5" customHeight="1" x14ac:dyDescent="0.3">
      <c r="A9" s="162" t="s">
        <v>180</v>
      </c>
      <c r="B9" s="163"/>
      <c r="C9" s="163"/>
      <c r="D9" s="163"/>
      <c r="E9" s="163"/>
      <c r="F9" s="163"/>
      <c r="G9" s="163"/>
      <c r="H9" s="163"/>
      <c r="I9" s="163"/>
      <c r="J9" s="163"/>
      <c r="K9" s="163"/>
      <c r="L9" s="163"/>
      <c r="M9" s="163"/>
      <c r="N9" s="163"/>
      <c r="O9" s="163"/>
    </row>
    <row r="10" spans="1:15" s="95" customFormat="1" ht="14.25" customHeight="1" x14ac:dyDescent="0.3">
      <c r="A10" s="95" t="s">
        <v>187</v>
      </c>
    </row>
    <row r="11" spans="1:15" s="95" customFormat="1" ht="14.25" customHeight="1" x14ac:dyDescent="0.3">
      <c r="A11" s="95" t="s">
        <v>181</v>
      </c>
      <c r="O11" s="145"/>
    </row>
    <row r="12" spans="1:15" s="95" customFormat="1" ht="14.25" customHeight="1" x14ac:dyDescent="0.3"/>
    <row r="13" spans="1:15" ht="14.25" customHeight="1" x14ac:dyDescent="0.3">
      <c r="A13" s="144" t="s">
        <v>185</v>
      </c>
      <c r="B13" s="95"/>
      <c r="C13" s="95"/>
      <c r="D13" s="95"/>
      <c r="E13" s="95"/>
      <c r="F13" s="95"/>
      <c r="G13" s="95"/>
      <c r="H13" s="95"/>
      <c r="I13" s="95"/>
      <c r="J13" s="95"/>
      <c r="K13" s="95"/>
      <c r="L13" s="95"/>
      <c r="M13" s="95"/>
      <c r="N13" s="95"/>
      <c r="O13" s="95"/>
    </row>
    <row r="14" spans="1:15" ht="14.25" customHeight="1" x14ac:dyDescent="0.3">
      <c r="A14" s="95" t="s">
        <v>186</v>
      </c>
      <c r="B14" s="95"/>
      <c r="C14" s="95"/>
      <c r="D14" s="95"/>
      <c r="E14" s="95"/>
      <c r="F14" s="95"/>
      <c r="G14" s="95"/>
      <c r="H14" s="95"/>
      <c r="I14" s="95"/>
      <c r="J14" s="95"/>
      <c r="K14" s="95"/>
      <c r="L14" s="95"/>
      <c r="M14" s="95"/>
      <c r="N14" s="95"/>
      <c r="O14" s="95"/>
    </row>
    <row r="15" spans="1:15" ht="14.25" customHeight="1" x14ac:dyDescent="0.3">
      <c r="A15" s="95"/>
      <c r="B15" s="95"/>
      <c r="C15" s="95"/>
      <c r="D15" s="95"/>
      <c r="E15" s="95"/>
      <c r="F15" s="95"/>
      <c r="G15" s="95"/>
      <c r="H15" s="95"/>
      <c r="I15" s="95"/>
      <c r="J15" s="95"/>
      <c r="K15" s="95"/>
      <c r="L15" s="95"/>
      <c r="N15" s="95"/>
      <c r="O15" s="95"/>
    </row>
    <row r="16" spans="1:15" s="95" customFormat="1" ht="14.25" customHeight="1" x14ac:dyDescent="0.3">
      <c r="A16" s="144" t="s">
        <v>2</v>
      </c>
    </row>
    <row r="17" spans="1:9" s="95" customFormat="1" ht="14.25" customHeight="1" x14ac:dyDescent="0.3">
      <c r="A17" s="95" t="s">
        <v>3</v>
      </c>
    </row>
    <row r="18" spans="1:9" s="95" customFormat="1" ht="14.25" customHeight="1" x14ac:dyDescent="0.3">
      <c r="A18" s="146" t="s">
        <v>4</v>
      </c>
      <c r="B18" s="147"/>
      <c r="C18" s="148"/>
      <c r="D18" s="148"/>
    </row>
    <row r="19" spans="1:9" s="95" customFormat="1" ht="14.25" customHeight="1" x14ac:dyDescent="0.3"/>
    <row r="20" spans="1:9" s="95" customFormat="1" ht="14.25" customHeight="1" x14ac:dyDescent="0.3">
      <c r="A20" s="144" t="s">
        <v>5</v>
      </c>
    </row>
    <row r="21" spans="1:9" s="95" customFormat="1" ht="14.25" customHeight="1" x14ac:dyDescent="0.3"/>
    <row r="22" spans="1:9" s="95" customFormat="1" ht="14.25" customHeight="1" x14ac:dyDescent="0.3">
      <c r="A22" s="149"/>
      <c r="B22" s="95" t="s">
        <v>6</v>
      </c>
    </row>
    <row r="23" spans="1:9" s="95" customFormat="1" ht="14.25" customHeight="1" x14ac:dyDescent="0.3">
      <c r="A23" s="160"/>
      <c r="B23" s="95" t="s">
        <v>7</v>
      </c>
      <c r="I23" s="118"/>
    </row>
    <row r="24" spans="1:9" s="95" customFormat="1" ht="14.25" customHeight="1" x14ac:dyDescent="0.3">
      <c r="B24" s="86"/>
    </row>
    <row r="25" spans="1:9" s="95" customFormat="1" ht="14.25" customHeight="1" x14ac:dyDescent="0.3">
      <c r="A25" s="144" t="s">
        <v>8</v>
      </c>
      <c r="B25" s="150"/>
    </row>
    <row r="26" spans="1:9" s="95" customFormat="1" ht="14.25" hidden="1" customHeight="1" x14ac:dyDescent="0.3">
      <c r="A26" s="150">
        <v>2025</v>
      </c>
    </row>
    <row r="27" spans="1:9" x14ac:dyDescent="0.2">
      <c r="A27" s="161">
        <v>45688</v>
      </c>
    </row>
    <row r="30" spans="1:9" x14ac:dyDescent="0.2">
      <c r="A30" s="2"/>
    </row>
  </sheetData>
  <sheetProtection algorithmName="SHA-512" hashValue="ubQdhsB8dwtA6oVMGYEV5ILdUD/oU/QaWr7tumE4jahnxblnUrTtba23fU7xVEKrafHXFDJZDVfKt7/KaUu3Jw==" saltValue="VpxV7z7oedAK2bGVorK00w==" spinCount="100000" sheet="1" objects="1" scenarios="1"/>
  <mergeCells count="2">
    <mergeCell ref="A9:O9"/>
    <mergeCell ref="A7:O7"/>
  </mergeCells>
  <hyperlinks>
    <hyperlink ref="A18" r:id="rId1" xr:uid="{BBD5782D-2A30-4CD0-BDD1-67E759668CF9}"/>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F4B6E-5106-44B3-BBE1-165D38EF9B1D}">
  <sheetPr>
    <tabColor rgb="FF009B48"/>
  </sheetPr>
  <dimension ref="A1:R143"/>
  <sheetViews>
    <sheetView showGridLines="0" workbookViewId="0">
      <selection activeCell="A7" sqref="A7"/>
    </sheetView>
  </sheetViews>
  <sheetFormatPr defaultColWidth="8.88671875" defaultRowHeight="11.4" x14ac:dyDescent="0.2"/>
  <cols>
    <col min="1" max="1" width="55.6640625" style="1" customWidth="1"/>
    <col min="2" max="2" width="18.33203125" style="3" customWidth="1"/>
    <col min="3" max="3" width="15" style="1" customWidth="1"/>
    <col min="4" max="13" width="11.6640625" style="1" customWidth="1"/>
    <col min="14" max="15" width="11.6640625" style="1" hidden="1" customWidth="1"/>
    <col min="16" max="16" width="11.33203125" style="1" hidden="1" customWidth="1"/>
    <col min="17" max="18" width="12" style="1" hidden="1" customWidth="1"/>
    <col min="19" max="16384" width="8.88671875" style="21"/>
  </cols>
  <sheetData>
    <row r="1" spans="1:18" s="10" customFormat="1" ht="14.25" customHeight="1" x14ac:dyDescent="0.2">
      <c r="A1" s="64"/>
      <c r="B1" s="63"/>
      <c r="C1" s="63"/>
      <c r="D1" s="63"/>
      <c r="E1" s="63"/>
      <c r="F1" s="63"/>
      <c r="G1" s="63"/>
      <c r="H1" s="63"/>
      <c r="I1" s="63"/>
      <c r="J1" s="63"/>
      <c r="K1" s="63"/>
      <c r="L1" s="63"/>
      <c r="M1" s="63"/>
      <c r="N1" s="63"/>
      <c r="O1" s="63"/>
      <c r="P1" s="63"/>
      <c r="Q1" s="63"/>
      <c r="R1" s="63"/>
    </row>
    <row r="2" spans="1:18" s="16" customFormat="1" ht="28.2" customHeight="1" x14ac:dyDescent="0.3">
      <c r="A2" s="71" t="s">
        <v>0</v>
      </c>
      <c r="B2" s="63"/>
      <c r="C2" s="63"/>
      <c r="D2" s="63"/>
      <c r="E2" s="63"/>
      <c r="F2" s="63"/>
      <c r="G2" s="63"/>
      <c r="H2" s="63"/>
      <c r="I2" s="63"/>
      <c r="J2" s="63"/>
      <c r="K2" s="63"/>
      <c r="L2" s="63"/>
      <c r="M2" s="63"/>
      <c r="N2" s="63"/>
      <c r="O2" s="63"/>
      <c r="P2" s="63"/>
      <c r="Q2" s="63"/>
      <c r="R2" s="63"/>
    </row>
    <row r="3" spans="1:18" s="10" customFormat="1" ht="14.25" customHeight="1" x14ac:dyDescent="0.2">
      <c r="A3" s="63"/>
      <c r="B3" s="63"/>
      <c r="C3" s="63"/>
      <c r="D3" s="63"/>
      <c r="E3" s="63"/>
      <c r="F3" s="63"/>
      <c r="G3" s="63"/>
      <c r="H3" s="63"/>
      <c r="I3" s="63"/>
      <c r="J3" s="63"/>
      <c r="K3" s="63"/>
      <c r="L3" s="63"/>
      <c r="M3" s="63"/>
      <c r="N3" s="63"/>
      <c r="O3" s="63"/>
      <c r="P3" s="63"/>
      <c r="Q3" s="63"/>
      <c r="R3" s="63"/>
    </row>
    <row r="4" spans="1:18" s="14" customFormat="1" ht="14.25" customHeight="1" x14ac:dyDescent="0.3">
      <c r="A4" s="11"/>
      <c r="B4" s="12"/>
      <c r="C4" s="11"/>
      <c r="D4" s="11"/>
      <c r="E4" s="11"/>
      <c r="F4" s="11"/>
      <c r="G4" s="11"/>
      <c r="H4" s="11"/>
      <c r="I4" s="11"/>
      <c r="J4" s="11"/>
      <c r="K4" s="11"/>
      <c r="L4" s="11"/>
      <c r="M4" s="11"/>
      <c r="N4" s="11"/>
      <c r="O4" s="11"/>
      <c r="P4" s="11"/>
      <c r="Q4" s="11"/>
      <c r="R4" s="11"/>
    </row>
    <row r="5" spans="1:18" s="20" customFormat="1" ht="28.8" x14ac:dyDescent="0.2">
      <c r="A5" s="113" t="s">
        <v>98</v>
      </c>
      <c r="B5" s="112"/>
      <c r="C5" s="112"/>
      <c r="D5" s="112"/>
      <c r="E5" s="112"/>
      <c r="F5" s="112"/>
      <c r="G5" s="112"/>
      <c r="H5" s="112"/>
      <c r="I5" s="112"/>
      <c r="J5" s="112"/>
      <c r="K5" s="112"/>
      <c r="L5" s="112"/>
      <c r="M5" s="112"/>
      <c r="N5" s="112"/>
      <c r="O5" s="112"/>
      <c r="P5" s="112"/>
      <c r="Q5" s="112"/>
      <c r="R5" s="112"/>
    </row>
    <row r="6" spans="1:18" s="95" customFormat="1" ht="5.0999999999999996" customHeight="1" x14ac:dyDescent="0.3">
      <c r="A6" s="114"/>
      <c r="B6" s="98"/>
      <c r="C6" s="98"/>
      <c r="D6" s="98"/>
      <c r="E6" s="98"/>
      <c r="F6" s="98"/>
      <c r="G6" s="98"/>
      <c r="H6" s="98"/>
      <c r="I6" s="98"/>
      <c r="J6" s="98"/>
      <c r="K6" s="98"/>
      <c r="L6" s="98"/>
      <c r="M6" s="98"/>
      <c r="N6" s="98"/>
      <c r="O6" s="98"/>
    </row>
    <row r="7" spans="1:18" s="24" customFormat="1" ht="14.25" customHeight="1" x14ac:dyDescent="0.3">
      <c r="A7" s="22"/>
      <c r="B7" s="23"/>
      <c r="C7" s="17"/>
      <c r="D7" s="17"/>
      <c r="E7" s="17"/>
      <c r="F7" s="17"/>
      <c r="G7" s="17"/>
      <c r="H7" s="17"/>
      <c r="I7" s="17"/>
      <c r="J7" s="17"/>
      <c r="K7" s="17"/>
      <c r="L7" s="17"/>
      <c r="M7" s="17"/>
      <c r="N7" s="17"/>
      <c r="O7" s="17"/>
      <c r="P7" s="17"/>
      <c r="Q7" s="17"/>
      <c r="R7" s="17"/>
    </row>
    <row r="8" spans="1:18" s="14" customFormat="1" ht="14.25" customHeight="1" x14ac:dyDescent="0.3">
      <c r="A8" s="11"/>
      <c r="B8" s="12"/>
      <c r="C8" s="11"/>
      <c r="D8" s="11"/>
      <c r="E8" s="11"/>
      <c r="F8" s="11"/>
      <c r="G8" s="11"/>
      <c r="H8" s="11"/>
      <c r="I8" s="11"/>
      <c r="J8" s="11"/>
      <c r="K8" s="11"/>
      <c r="L8" s="11"/>
      <c r="M8" s="11"/>
      <c r="N8" s="11"/>
      <c r="O8" s="11"/>
      <c r="P8" s="11"/>
      <c r="Q8" s="11"/>
      <c r="R8" s="11"/>
    </row>
    <row r="9" spans="1:18" s="117" customFormat="1" ht="14.25" customHeight="1" x14ac:dyDescent="0.3">
      <c r="A9" s="116" t="s">
        <v>102</v>
      </c>
      <c r="B9" s="116"/>
      <c r="C9" s="116"/>
      <c r="D9" s="116"/>
      <c r="E9" s="116"/>
      <c r="F9" s="116"/>
      <c r="G9" s="116"/>
      <c r="H9" s="116"/>
      <c r="I9" s="116"/>
      <c r="J9" s="116"/>
      <c r="K9" s="116"/>
    </row>
    <row r="10" spans="1:18" s="95" customFormat="1" ht="14.25" customHeight="1" x14ac:dyDescent="0.3">
      <c r="A10" s="166" t="s">
        <v>1</v>
      </c>
      <c r="B10" s="167"/>
      <c r="C10" s="167"/>
      <c r="D10" s="167"/>
      <c r="E10" s="167"/>
      <c r="F10" s="167"/>
      <c r="G10" s="167"/>
      <c r="H10" s="167"/>
      <c r="I10" s="167"/>
      <c r="J10" s="167"/>
      <c r="K10" s="167"/>
      <c r="L10" s="167"/>
      <c r="M10" s="167"/>
      <c r="N10" s="167"/>
      <c r="O10" s="168"/>
      <c r="P10" s="168"/>
      <c r="Q10" s="168"/>
      <c r="R10" s="168"/>
    </row>
    <row r="11" spans="1:18" s="72" customFormat="1" ht="14.25" customHeight="1" x14ac:dyDescent="0.3">
      <c r="A11" s="73"/>
      <c r="B11" s="74"/>
      <c r="C11" s="40"/>
      <c r="D11" s="40"/>
      <c r="E11" s="40"/>
      <c r="F11" s="40"/>
      <c r="G11" s="40"/>
      <c r="H11" s="40"/>
      <c r="I11" s="40"/>
      <c r="J11" s="40"/>
      <c r="K11" s="40"/>
      <c r="L11" s="40"/>
      <c r="M11" s="40"/>
      <c r="N11" s="40"/>
      <c r="O11" s="40"/>
      <c r="P11" s="40"/>
      <c r="Q11" s="40"/>
      <c r="R11" s="40"/>
    </row>
    <row r="12" spans="1:18" s="109" customFormat="1" ht="14.25" customHeight="1" x14ac:dyDescent="0.3">
      <c r="A12" s="108" t="s">
        <v>103</v>
      </c>
      <c r="B12" s="50" t="s">
        <v>12</v>
      </c>
      <c r="C12" s="108" t="s">
        <v>13</v>
      </c>
      <c r="D12" s="108"/>
      <c r="E12" s="54"/>
      <c r="F12" s="54"/>
      <c r="G12" s="54"/>
      <c r="H12" s="54"/>
      <c r="I12" s="54"/>
      <c r="J12" s="54"/>
      <c r="K12" s="54"/>
      <c r="L12" s="54"/>
      <c r="M12" s="54"/>
      <c r="N12" s="54"/>
      <c r="O12" s="54"/>
      <c r="P12" s="54"/>
      <c r="Q12" s="54"/>
      <c r="R12" s="54"/>
    </row>
    <row r="13" spans="1:18" s="72" customFormat="1" ht="14.25" customHeight="1" x14ac:dyDescent="0.3">
      <c r="A13" s="40" t="s">
        <v>65</v>
      </c>
      <c r="B13" s="62">
        <f>VLOOKUP($A$5,tech_param[],3,FALSE)</f>
        <v>1000</v>
      </c>
      <c r="C13" s="40" t="s">
        <v>104</v>
      </c>
      <c r="D13" s="76"/>
      <c r="E13" s="40"/>
      <c r="F13" s="40"/>
      <c r="G13" s="40"/>
      <c r="H13" s="40"/>
      <c r="I13" s="40"/>
      <c r="J13" s="40"/>
      <c r="K13" s="40"/>
      <c r="L13" s="40"/>
      <c r="M13" s="40"/>
      <c r="N13" s="40"/>
      <c r="O13" s="40"/>
      <c r="P13" s="40"/>
      <c r="Q13" s="40"/>
      <c r="R13" s="40"/>
    </row>
    <row r="14" spans="1:18" s="72" customFormat="1" ht="14.25" customHeight="1" x14ac:dyDescent="0.3">
      <c r="A14" s="40" t="s">
        <v>105</v>
      </c>
      <c r="B14" s="45">
        <f>VLOOKUP($A$5,tech_param[],4,FALSE)</f>
        <v>1</v>
      </c>
      <c r="C14" s="40" t="s">
        <v>106</v>
      </c>
      <c r="D14" s="76"/>
      <c r="E14" s="40"/>
      <c r="F14" s="40"/>
      <c r="G14" s="40"/>
      <c r="H14" s="40"/>
      <c r="I14" s="40"/>
      <c r="J14" s="40"/>
      <c r="K14" s="40"/>
      <c r="L14" s="40"/>
      <c r="M14" s="40"/>
      <c r="N14" s="40"/>
      <c r="O14" s="40"/>
      <c r="P14" s="40"/>
      <c r="Q14" s="40"/>
      <c r="R14" s="40"/>
    </row>
    <row r="15" spans="1:18" s="72" customFormat="1" ht="14.25" customHeight="1" x14ac:dyDescent="0.3">
      <c r="A15" s="40" t="s">
        <v>107</v>
      </c>
      <c r="B15" s="77">
        <f>B13*B14*B16</f>
        <v>3500</v>
      </c>
      <c r="C15" s="40" t="s">
        <v>108</v>
      </c>
      <c r="D15" s="76"/>
      <c r="E15" s="40"/>
      <c r="F15" s="40"/>
      <c r="G15" s="40"/>
      <c r="H15" s="40"/>
      <c r="I15" s="40"/>
      <c r="J15" s="40"/>
      <c r="K15" s="40"/>
      <c r="L15" s="40"/>
      <c r="M15" s="40"/>
      <c r="N15" s="40"/>
      <c r="O15" s="40"/>
      <c r="P15" s="40"/>
      <c r="Q15" s="40"/>
      <c r="R15" s="40"/>
    </row>
    <row r="16" spans="1:18" s="72" customFormat="1" ht="14.25" customHeight="1" x14ac:dyDescent="0.3">
      <c r="A16" s="40" t="s">
        <v>109</v>
      </c>
      <c r="B16" s="78">
        <f>VLOOKUP($A$5,tech_param[],5,FALSE)</f>
        <v>3.5</v>
      </c>
      <c r="C16" s="79" t="s">
        <v>110</v>
      </c>
      <c r="D16" s="153" t="s">
        <v>111</v>
      </c>
      <c r="E16" s="40"/>
      <c r="F16" s="40"/>
      <c r="G16" s="40"/>
      <c r="H16" s="40"/>
      <c r="I16" s="40"/>
      <c r="J16" s="40"/>
      <c r="K16" s="40"/>
      <c r="L16" s="40"/>
      <c r="M16" s="40"/>
      <c r="N16" s="40"/>
      <c r="O16" s="40"/>
      <c r="P16" s="40"/>
      <c r="Q16" s="40"/>
      <c r="R16" s="40"/>
    </row>
    <row r="17" spans="1:18" s="72" customFormat="1" ht="14.25" customHeight="1" x14ac:dyDescent="0.3">
      <c r="A17" s="40" t="s">
        <v>112</v>
      </c>
      <c r="B17" s="62">
        <f>VLOOKUP($A$5,tech_param[],6,FALSE)</f>
        <v>8000</v>
      </c>
      <c r="C17" s="40" t="s">
        <v>113</v>
      </c>
      <c r="D17" s="76"/>
      <c r="E17" s="40"/>
      <c r="F17" s="40"/>
      <c r="G17" s="40"/>
      <c r="H17" s="40"/>
      <c r="I17" s="40"/>
      <c r="J17" s="40"/>
      <c r="K17" s="40"/>
      <c r="L17" s="40"/>
      <c r="M17" s="40"/>
      <c r="N17" s="40"/>
      <c r="O17" s="40"/>
      <c r="P17" s="40"/>
      <c r="Q17" s="40"/>
      <c r="R17" s="40"/>
    </row>
    <row r="18" spans="1:18" s="72" customFormat="1" ht="14.25" customHeight="1" x14ac:dyDescent="0.3">
      <c r="A18" s="40" t="s">
        <v>114</v>
      </c>
      <c r="B18" s="77">
        <f>(B13*B17)/1000</f>
        <v>8000</v>
      </c>
      <c r="C18" s="40" t="s">
        <v>115</v>
      </c>
      <c r="D18" s="76"/>
      <c r="E18" s="40"/>
      <c r="F18" s="40"/>
      <c r="G18" s="40"/>
      <c r="H18" s="40"/>
      <c r="I18" s="40"/>
      <c r="J18" s="40"/>
      <c r="K18" s="40"/>
      <c r="L18" s="40"/>
      <c r="M18" s="40"/>
      <c r="N18" s="40"/>
      <c r="O18" s="40"/>
      <c r="P18" s="40"/>
      <c r="Q18" s="40"/>
      <c r="R18" s="40"/>
    </row>
    <row r="19" spans="1:18" s="72" customFormat="1" ht="14.25" customHeight="1" x14ac:dyDescent="0.3">
      <c r="A19" s="40"/>
      <c r="B19" s="74"/>
      <c r="C19" s="40"/>
      <c r="D19" s="76"/>
      <c r="E19" s="40"/>
      <c r="F19" s="40"/>
      <c r="G19" s="40"/>
      <c r="H19" s="40"/>
      <c r="I19" s="40"/>
      <c r="J19" s="40"/>
      <c r="K19" s="40"/>
      <c r="L19" s="40"/>
      <c r="M19" s="40"/>
      <c r="N19" s="40"/>
      <c r="O19" s="40"/>
      <c r="P19" s="40"/>
      <c r="Q19" s="40"/>
      <c r="R19" s="40"/>
    </row>
    <row r="20" spans="1:18" s="109" customFormat="1" ht="14.25" customHeight="1" x14ac:dyDescent="0.3">
      <c r="A20" s="108" t="s">
        <v>116</v>
      </c>
      <c r="B20" s="50" t="s">
        <v>12</v>
      </c>
      <c r="C20" s="108" t="s">
        <v>13</v>
      </c>
      <c r="D20" s="76"/>
      <c r="E20" s="40"/>
      <c r="F20" s="54"/>
      <c r="G20" s="54"/>
      <c r="H20" s="54"/>
      <c r="I20" s="54"/>
      <c r="J20" s="54"/>
      <c r="K20" s="54"/>
      <c r="L20" s="54"/>
      <c r="M20" s="54"/>
      <c r="N20" s="54"/>
      <c r="O20" s="54"/>
      <c r="P20" s="54"/>
      <c r="Q20" s="54"/>
      <c r="R20" s="54"/>
    </row>
    <row r="21" spans="1:18" s="72" customFormat="1" ht="14.25" customHeight="1" x14ac:dyDescent="0.3">
      <c r="A21" s="79" t="s">
        <v>117</v>
      </c>
      <c r="B21" s="42">
        <f>VLOOKUP($A$5,tech_param[],7,FALSE)</f>
        <v>1152</v>
      </c>
      <c r="C21" s="40" t="s">
        <v>118</v>
      </c>
      <c r="D21" s="80"/>
      <c r="E21" s="40"/>
      <c r="F21" s="40"/>
      <c r="G21" s="40"/>
      <c r="H21" s="40"/>
      <c r="I21" s="40"/>
      <c r="J21" s="40"/>
      <c r="K21" s="40"/>
      <c r="L21" s="40"/>
      <c r="M21" s="40"/>
      <c r="N21" s="40"/>
      <c r="O21" s="40"/>
      <c r="P21" s="40"/>
      <c r="Q21" s="40"/>
      <c r="R21" s="40"/>
    </row>
    <row r="22" spans="1:18" s="72" customFormat="1" ht="14.25" customHeight="1" x14ac:dyDescent="0.3">
      <c r="A22" s="40" t="s">
        <v>119</v>
      </c>
      <c r="B22" s="77">
        <f>B21*B15</f>
        <v>4032000</v>
      </c>
      <c r="C22" s="40" t="s">
        <v>120</v>
      </c>
      <c r="D22" s="76"/>
      <c r="E22" s="40"/>
      <c r="F22" s="40"/>
      <c r="G22" s="40"/>
      <c r="H22" s="40"/>
      <c r="I22" s="40"/>
      <c r="J22" s="40"/>
      <c r="K22" s="40"/>
      <c r="L22" s="40"/>
      <c r="M22" s="40"/>
      <c r="N22" s="40"/>
      <c r="O22" s="40"/>
      <c r="P22" s="40"/>
      <c r="Q22" s="40"/>
      <c r="R22" s="40"/>
    </row>
    <row r="23" spans="1:18" s="72" customFormat="1" ht="14.25" customHeight="1" x14ac:dyDescent="0.3">
      <c r="A23" s="79" t="s">
        <v>121</v>
      </c>
      <c r="B23" s="81">
        <f>VLOOKUP($A$5,tech_param[],9,FALSE)*VLOOKUP($A$5,tech_param[],10,FALSE)</f>
        <v>49.728376915919995</v>
      </c>
      <c r="C23" s="40" t="s">
        <v>183</v>
      </c>
      <c r="D23" s="76"/>
      <c r="E23" s="40"/>
      <c r="F23" s="40"/>
      <c r="G23" s="40"/>
      <c r="H23" s="40"/>
      <c r="I23" s="40"/>
      <c r="J23" s="40"/>
      <c r="K23" s="40"/>
      <c r="L23" s="40"/>
      <c r="M23" s="40"/>
      <c r="N23" s="40"/>
      <c r="O23" s="40"/>
      <c r="P23" s="40"/>
      <c r="Q23" s="40"/>
      <c r="R23" s="40"/>
    </row>
    <row r="24" spans="1:18" s="72" customFormat="1" ht="14.25" customHeight="1" x14ac:dyDescent="0.3">
      <c r="A24" s="79" t="s">
        <v>122</v>
      </c>
      <c r="B24" s="77">
        <f>VLOOKUP($A$5,tech_param[],8,FALSE)*B22/100</f>
        <v>161280</v>
      </c>
      <c r="C24" s="40" t="s">
        <v>123</v>
      </c>
      <c r="D24" s="76"/>
      <c r="E24" s="40"/>
      <c r="F24" s="40"/>
      <c r="G24" s="40"/>
      <c r="H24" s="40"/>
      <c r="I24" s="40"/>
      <c r="J24" s="40"/>
      <c r="K24" s="40"/>
      <c r="L24" s="40"/>
      <c r="M24" s="40"/>
      <c r="N24" s="40"/>
      <c r="O24" s="40"/>
      <c r="P24" s="40"/>
      <c r="Q24" s="40"/>
      <c r="R24" s="40"/>
    </row>
    <row r="25" spans="1:18" s="72" customFormat="1" ht="14.25" customHeight="1" x14ac:dyDescent="0.3">
      <c r="A25" s="40" t="s">
        <v>124</v>
      </c>
      <c r="B25" s="77">
        <f>B23*B13+B24</f>
        <v>211008.37691592</v>
      </c>
      <c r="C25" s="40" t="s">
        <v>123</v>
      </c>
      <c r="D25" s="76"/>
      <c r="E25" s="40"/>
      <c r="F25" s="40"/>
      <c r="G25" s="40"/>
      <c r="H25" s="40"/>
      <c r="I25" s="40"/>
      <c r="J25" s="40"/>
      <c r="K25" s="40"/>
      <c r="L25" s="40"/>
      <c r="M25" s="40"/>
      <c r="N25" s="40"/>
      <c r="O25" s="40"/>
      <c r="P25" s="40"/>
      <c r="Q25" s="40"/>
      <c r="R25" s="40"/>
    </row>
    <row r="26" spans="1:18" s="72" customFormat="1" ht="14.25" customHeight="1" x14ac:dyDescent="0.3">
      <c r="A26" s="79" t="s">
        <v>182</v>
      </c>
      <c r="B26" s="82">
        <f>VLOOKUP($A$5,tech_param[],11,FALSE)</f>
        <v>9.7600000000000006E-2</v>
      </c>
      <c r="C26" s="83" t="s">
        <v>125</v>
      </c>
      <c r="D26" s="76"/>
      <c r="E26" s="40"/>
      <c r="F26" s="40"/>
      <c r="G26" s="40"/>
      <c r="H26" s="40"/>
      <c r="I26" s="40"/>
      <c r="J26" s="40"/>
      <c r="K26" s="40"/>
      <c r="L26" s="40"/>
      <c r="M26" s="40"/>
      <c r="N26" s="40"/>
      <c r="O26" s="40"/>
      <c r="P26" s="40"/>
      <c r="Q26" s="40"/>
      <c r="R26" s="40"/>
    </row>
    <row r="27" spans="1:18" s="72" customFormat="1" ht="14.25" customHeight="1" x14ac:dyDescent="0.3">
      <c r="A27" s="79" t="s">
        <v>126</v>
      </c>
      <c r="B27" s="82">
        <f>VLOOKUP($A$5,tech_param[],12,FALSE)</f>
        <v>7.7158303998599992E-3</v>
      </c>
      <c r="C27" s="40" t="s">
        <v>55</v>
      </c>
      <c r="D27" s="76"/>
      <c r="E27" s="40"/>
      <c r="F27" s="40"/>
      <c r="G27" s="40"/>
      <c r="H27" s="40"/>
      <c r="I27" s="40"/>
      <c r="J27" s="40"/>
      <c r="K27" s="40"/>
      <c r="L27" s="40"/>
      <c r="M27" s="40"/>
      <c r="N27" s="40"/>
      <c r="O27" s="40"/>
      <c r="P27" s="40"/>
      <c r="Q27" s="40"/>
      <c r="R27" s="40"/>
    </row>
    <row r="28" spans="1:18" s="72" customFormat="1" ht="14.25" customHeight="1" x14ac:dyDescent="0.3">
      <c r="A28" s="40" t="s">
        <v>127</v>
      </c>
      <c r="B28" s="84">
        <f>SUM(B26:B27)</f>
        <v>0.10531583039986001</v>
      </c>
      <c r="C28" s="40" t="s">
        <v>55</v>
      </c>
      <c r="D28" s="76"/>
      <c r="E28" s="40"/>
      <c r="F28" s="40"/>
      <c r="G28" s="40"/>
      <c r="H28" s="40"/>
      <c r="I28" s="40"/>
      <c r="J28" s="40"/>
      <c r="K28" s="40"/>
      <c r="L28" s="40"/>
      <c r="M28" s="40"/>
      <c r="N28" s="40"/>
      <c r="O28" s="40"/>
      <c r="P28" s="40"/>
      <c r="Q28" s="40"/>
      <c r="R28" s="40"/>
    </row>
    <row r="29" spans="1:18" s="72" customFormat="1" ht="14.25" customHeight="1" x14ac:dyDescent="0.3">
      <c r="A29" s="40"/>
      <c r="B29" s="74"/>
      <c r="C29" s="40"/>
      <c r="D29" s="43"/>
      <c r="E29" s="43"/>
      <c r="F29" s="43"/>
      <c r="G29" s="43"/>
      <c r="H29" s="43"/>
      <c r="I29" s="43"/>
      <c r="J29" s="43"/>
      <c r="K29" s="43"/>
      <c r="L29" s="43"/>
      <c r="M29" s="43"/>
      <c r="N29" s="43"/>
      <c r="O29" s="43"/>
      <c r="P29" s="43"/>
      <c r="Q29" s="40"/>
      <c r="R29" s="40"/>
    </row>
    <row r="30" spans="1:18" s="72" customFormat="1" ht="14.25" customHeight="1" x14ac:dyDescent="0.3">
      <c r="A30" s="75" t="s">
        <v>128</v>
      </c>
      <c r="B30" s="37" t="s">
        <v>12</v>
      </c>
      <c r="C30" s="75" t="s">
        <v>129</v>
      </c>
      <c r="D30" s="108" t="s">
        <v>14</v>
      </c>
      <c r="E30" s="43"/>
      <c r="F30" s="43"/>
      <c r="G30" s="43"/>
      <c r="H30" s="43"/>
      <c r="I30" s="43"/>
      <c r="J30" s="43"/>
      <c r="K30" s="43"/>
      <c r="L30" s="43"/>
      <c r="M30" s="43"/>
      <c r="N30" s="43"/>
      <c r="O30" s="43"/>
      <c r="P30" s="43"/>
      <c r="Q30" s="40"/>
      <c r="R30" s="40"/>
    </row>
    <row r="31" spans="1:18" s="72" customFormat="1" ht="14.25" customHeight="1" x14ac:dyDescent="0.3">
      <c r="A31" s="40" t="s">
        <v>130</v>
      </c>
      <c r="B31" s="85">
        <f>'Algemene parameters'!B13</f>
        <v>0.20239199999999999</v>
      </c>
      <c r="C31" s="40" t="s">
        <v>131</v>
      </c>
      <c r="D31" s="43" t="s">
        <v>132</v>
      </c>
      <c r="E31" s="43"/>
      <c r="F31" s="43"/>
      <c r="G31" s="43"/>
      <c r="H31" s="43"/>
      <c r="I31" s="43"/>
      <c r="J31" s="43"/>
      <c r="K31" s="43"/>
      <c r="L31" s="43"/>
      <c r="M31" s="43"/>
      <c r="N31" s="43"/>
      <c r="O31" s="43"/>
      <c r="P31" s="43"/>
      <c r="Q31" s="40"/>
      <c r="R31" s="40"/>
    </row>
    <row r="32" spans="1:18" s="72" customFormat="1" ht="14.25" customHeight="1" x14ac:dyDescent="0.3">
      <c r="A32" s="40" t="s">
        <v>133</v>
      </c>
      <c r="B32" s="86">
        <f>'Algemene parameters'!B15</f>
        <v>0.22487999999999997</v>
      </c>
      <c r="C32" s="40" t="s">
        <v>134</v>
      </c>
      <c r="D32" s="43" t="s">
        <v>135</v>
      </c>
      <c r="E32" s="43"/>
      <c r="F32" s="43"/>
      <c r="G32" s="43"/>
      <c r="H32" s="43"/>
      <c r="I32" s="43"/>
      <c r="J32" s="43"/>
      <c r="K32" s="43"/>
      <c r="L32" s="43"/>
      <c r="M32" s="43"/>
      <c r="N32" s="43"/>
      <c r="O32" s="43"/>
      <c r="P32" s="43"/>
      <c r="Q32" s="40"/>
      <c r="R32" s="40"/>
    </row>
    <row r="33" spans="1:18" s="72" customFormat="1" ht="14.25" customHeight="1" x14ac:dyDescent="0.3">
      <c r="A33" s="40" t="s">
        <v>136</v>
      </c>
      <c r="B33" s="85">
        <f>VLOOKUP($A$5,tech_param[],13,FALSE)</f>
        <v>0.15</v>
      </c>
      <c r="C33" s="40" t="s">
        <v>137</v>
      </c>
      <c r="D33" s="43"/>
      <c r="E33" s="43"/>
      <c r="F33" s="43"/>
      <c r="G33" s="43"/>
      <c r="H33" s="43"/>
      <c r="I33" s="43"/>
      <c r="J33" s="43"/>
      <c r="K33" s="43"/>
      <c r="L33" s="43"/>
      <c r="M33" s="43"/>
      <c r="N33" s="43"/>
      <c r="O33" s="43"/>
      <c r="P33" s="43"/>
      <c r="Q33" s="40"/>
      <c r="R33" s="40"/>
    </row>
    <row r="34" spans="1:18" s="72" customFormat="1" ht="14.25" customHeight="1" x14ac:dyDescent="0.3">
      <c r="A34" s="40" t="s">
        <v>138</v>
      </c>
      <c r="B34" s="86">
        <f>B32-(B33*B13/B15)</f>
        <v>0.1820228571428571</v>
      </c>
      <c r="C34" s="40" t="s">
        <v>134</v>
      </c>
      <c r="D34" s="43" t="s">
        <v>139</v>
      </c>
      <c r="E34" s="43"/>
      <c r="F34" s="43"/>
      <c r="G34" s="43"/>
      <c r="H34" s="43"/>
      <c r="I34" s="43"/>
      <c r="J34" s="43"/>
      <c r="K34" s="43"/>
      <c r="L34" s="43"/>
      <c r="M34" s="43"/>
      <c r="N34" s="43"/>
      <c r="O34" s="43"/>
      <c r="P34" s="43"/>
      <c r="Q34" s="40"/>
      <c r="R34" s="40"/>
    </row>
    <row r="35" spans="1:18" s="72" customFormat="1" ht="14.25" customHeight="1" x14ac:dyDescent="0.3">
      <c r="A35" s="40"/>
      <c r="B35" s="74"/>
      <c r="C35" s="40"/>
      <c r="D35" s="43"/>
      <c r="E35" s="43"/>
      <c r="F35" s="43"/>
      <c r="G35" s="43"/>
      <c r="H35" s="43"/>
      <c r="I35" s="43"/>
      <c r="J35" s="43"/>
      <c r="K35" s="43"/>
      <c r="L35" s="43"/>
      <c r="M35" s="43"/>
      <c r="N35" s="43"/>
      <c r="O35" s="43"/>
      <c r="P35" s="43"/>
      <c r="Q35" s="40"/>
      <c r="R35" s="40"/>
    </row>
    <row r="36" spans="1:18" s="109" customFormat="1" ht="14.25" customHeight="1" x14ac:dyDescent="0.3">
      <c r="A36" s="108" t="s">
        <v>28</v>
      </c>
      <c r="B36" s="50" t="s">
        <v>12</v>
      </c>
      <c r="C36" s="108" t="s">
        <v>13</v>
      </c>
      <c r="D36" s="43"/>
      <c r="E36" s="43"/>
      <c r="F36" s="43"/>
      <c r="G36" s="43"/>
      <c r="H36" s="43"/>
      <c r="I36" s="43"/>
      <c r="J36" s="43"/>
      <c r="K36" s="43"/>
      <c r="L36" s="43"/>
      <c r="M36" s="43"/>
      <c r="N36" s="43"/>
      <c r="O36" s="43"/>
      <c r="P36" s="43"/>
      <c r="Q36" s="54"/>
      <c r="R36" s="54"/>
    </row>
    <row r="37" spans="1:18" s="72" customFormat="1" ht="14.25" customHeight="1" x14ac:dyDescent="0.3">
      <c r="A37" s="40" t="s">
        <v>76</v>
      </c>
      <c r="B37" s="88">
        <f>VLOOKUP($A$5,tech_param[],14,FALSE)</f>
        <v>10</v>
      </c>
      <c r="C37" s="40" t="s">
        <v>30</v>
      </c>
      <c r="D37" s="43"/>
      <c r="E37" s="43"/>
      <c r="F37" s="43"/>
      <c r="G37" s="43"/>
      <c r="H37" s="43"/>
      <c r="I37" s="43"/>
      <c r="J37" s="43"/>
      <c r="K37" s="43"/>
      <c r="L37" s="43"/>
      <c r="M37" s="43"/>
      <c r="N37" s="43"/>
      <c r="O37" s="43"/>
      <c r="P37" s="43"/>
      <c r="Q37" s="40"/>
      <c r="R37" s="40"/>
    </row>
    <row r="38" spans="1:18" s="72" customFormat="1" ht="14.25" customHeight="1" x14ac:dyDescent="0.3">
      <c r="A38" s="40" t="s">
        <v>29</v>
      </c>
      <c r="B38" s="62">
        <f>'Algemene parameters'!B23</f>
        <v>10</v>
      </c>
      <c r="C38" s="40" t="s">
        <v>30</v>
      </c>
      <c r="D38" s="43"/>
      <c r="E38" s="43"/>
      <c r="F38" s="43"/>
      <c r="G38" s="43"/>
      <c r="H38" s="43"/>
      <c r="I38" s="43"/>
      <c r="J38" s="43"/>
      <c r="K38" s="43"/>
      <c r="L38" s="43"/>
      <c r="M38" s="43"/>
      <c r="N38" s="43"/>
      <c r="O38" s="43"/>
      <c r="P38" s="43"/>
      <c r="Q38" s="40"/>
      <c r="R38" s="40"/>
    </row>
    <row r="39" spans="1:18" s="72" customFormat="1" ht="14.25" customHeight="1" x14ac:dyDescent="0.3">
      <c r="A39" s="40" t="s">
        <v>31</v>
      </c>
      <c r="B39" s="90">
        <f>'Algemene parameters'!B24</f>
        <v>0.02</v>
      </c>
      <c r="C39" s="40"/>
      <c r="D39" s="43"/>
      <c r="E39" s="43"/>
      <c r="F39" s="43"/>
      <c r="G39" s="43"/>
      <c r="H39" s="43"/>
      <c r="I39" s="43"/>
      <c r="J39" s="43"/>
      <c r="K39" s="43"/>
      <c r="L39" s="43"/>
      <c r="M39" s="43"/>
      <c r="N39" s="43"/>
      <c r="O39" s="43"/>
      <c r="P39" s="43"/>
      <c r="Q39" s="40"/>
      <c r="R39" s="40"/>
    </row>
    <row r="40" spans="1:18" s="72" customFormat="1" ht="14.25" customHeight="1" x14ac:dyDescent="0.3">
      <c r="A40" s="79" t="s">
        <v>140</v>
      </c>
      <c r="B40" s="90">
        <f>'Algemene parameters'!B25</f>
        <v>5.7500000000000002E-2</v>
      </c>
      <c r="C40" s="40"/>
      <c r="D40" s="40"/>
      <c r="E40" s="40"/>
      <c r="F40" s="40"/>
      <c r="G40" s="40"/>
      <c r="H40" s="40"/>
      <c r="I40" s="40"/>
      <c r="J40" s="40"/>
      <c r="K40" s="40"/>
      <c r="L40" s="40"/>
      <c r="M40" s="40"/>
      <c r="N40" s="40"/>
      <c r="O40" s="40"/>
      <c r="P40" s="40"/>
      <c r="Q40" s="40"/>
      <c r="R40" s="40"/>
    </row>
    <row r="41" spans="1:18" s="72" customFormat="1" ht="14.25" customHeight="1" x14ac:dyDescent="0.3">
      <c r="A41" s="79" t="s">
        <v>141</v>
      </c>
      <c r="B41" s="45">
        <f>'Algemene parameters'!B26</f>
        <v>0.12</v>
      </c>
      <c r="C41" s="40"/>
      <c r="D41" s="40"/>
      <c r="E41" s="40"/>
      <c r="F41" s="40"/>
      <c r="G41" s="40"/>
      <c r="H41" s="40"/>
      <c r="I41" s="40"/>
      <c r="J41" s="40"/>
      <c r="K41" s="40"/>
      <c r="L41" s="40"/>
      <c r="M41" s="40"/>
      <c r="N41" s="40"/>
      <c r="O41" s="40"/>
      <c r="P41" s="40"/>
      <c r="Q41" s="40"/>
      <c r="R41" s="40"/>
    </row>
    <row r="42" spans="1:18" s="72" customFormat="1" ht="14.25" customHeight="1" x14ac:dyDescent="0.3">
      <c r="A42" s="79" t="s">
        <v>142</v>
      </c>
      <c r="B42" s="45">
        <f>'Algemene parameters'!B27</f>
        <v>0.58200000000000007</v>
      </c>
      <c r="C42" s="40"/>
      <c r="D42" s="40"/>
      <c r="E42" s="40"/>
      <c r="F42" s="40"/>
      <c r="G42" s="40"/>
      <c r="H42" s="40"/>
      <c r="I42" s="40"/>
      <c r="J42" s="40"/>
      <c r="K42" s="40"/>
      <c r="L42" s="40"/>
      <c r="M42" s="40"/>
      <c r="N42" s="40"/>
      <c r="O42" s="40"/>
      <c r="P42" s="40"/>
      <c r="Q42" s="40"/>
      <c r="R42" s="40"/>
    </row>
    <row r="43" spans="1:18" s="72" customFormat="1" ht="14.25" customHeight="1" x14ac:dyDescent="0.3">
      <c r="A43" s="79" t="s">
        <v>143</v>
      </c>
      <c r="B43" s="45">
        <f>'Algemene parameters'!B28</f>
        <v>0.41799999999999998</v>
      </c>
      <c r="C43" s="40"/>
      <c r="D43" s="40"/>
      <c r="E43" s="40"/>
      <c r="F43" s="40"/>
      <c r="G43" s="40"/>
      <c r="H43" s="40"/>
      <c r="I43" s="40"/>
      <c r="J43" s="40"/>
      <c r="K43" s="40"/>
      <c r="L43" s="40"/>
      <c r="M43" s="40"/>
      <c r="N43" s="40"/>
      <c r="O43" s="40"/>
      <c r="P43" s="40"/>
      <c r="Q43" s="40"/>
      <c r="R43" s="40"/>
    </row>
    <row r="44" spans="1:18" s="72" customFormat="1" ht="14.25" customHeight="1" x14ac:dyDescent="0.3">
      <c r="A44" s="40" t="s">
        <v>41</v>
      </c>
      <c r="B44" s="45">
        <f>'Algemene parameters'!B29</f>
        <v>0.25</v>
      </c>
      <c r="C44" s="40"/>
      <c r="D44" s="40"/>
      <c r="E44" s="40"/>
      <c r="F44" s="40"/>
      <c r="G44" s="40"/>
      <c r="H44" s="40"/>
      <c r="I44" s="40"/>
      <c r="J44" s="40"/>
      <c r="K44" s="40"/>
      <c r="L44" s="40"/>
      <c r="M44" s="40"/>
      <c r="N44" s="40"/>
      <c r="O44" s="40"/>
      <c r="P44" s="40"/>
      <c r="Q44" s="40"/>
      <c r="R44" s="40"/>
    </row>
    <row r="45" spans="1:18" s="72" customFormat="1" ht="14.25" customHeight="1" x14ac:dyDescent="0.3">
      <c r="A45" s="115" t="s">
        <v>42</v>
      </c>
      <c r="B45" s="111">
        <f>'Algemene parameters'!B30</f>
        <v>7.5258749999999999E-2</v>
      </c>
      <c r="C45" s="40"/>
      <c r="D45" s="40"/>
      <c r="E45" s="40"/>
      <c r="F45" s="40"/>
      <c r="G45" s="40"/>
      <c r="H45" s="40"/>
      <c r="I45" s="40"/>
      <c r="J45" s="40"/>
      <c r="K45" s="40"/>
      <c r="L45" s="40"/>
      <c r="M45" s="40"/>
      <c r="N45" s="40"/>
      <c r="O45" s="40"/>
      <c r="P45" s="40"/>
      <c r="Q45" s="40"/>
      <c r="R45" s="40"/>
    </row>
    <row r="46" spans="1:18" s="72" customFormat="1" ht="14.25" customHeight="1" x14ac:dyDescent="0.3">
      <c r="A46" s="40"/>
      <c r="B46" s="40"/>
      <c r="C46" s="40"/>
      <c r="D46" s="91"/>
      <c r="E46" s="91"/>
      <c r="F46" s="91"/>
      <c r="G46" s="91"/>
      <c r="H46" s="91"/>
      <c r="I46" s="91"/>
      <c r="J46" s="91"/>
      <c r="K46" s="91"/>
      <c r="L46" s="91"/>
      <c r="M46" s="91"/>
      <c r="N46" s="40"/>
      <c r="O46" s="40"/>
      <c r="P46" s="40"/>
      <c r="Q46" s="40"/>
      <c r="R46" s="40"/>
    </row>
    <row r="47" spans="1:18" s="109" customFormat="1" ht="14.25" customHeight="1" x14ac:dyDescent="0.3">
      <c r="A47" s="108" t="s">
        <v>144</v>
      </c>
      <c r="B47" s="50" t="s">
        <v>12</v>
      </c>
      <c r="C47" s="108" t="s">
        <v>13</v>
      </c>
      <c r="D47" s="108" t="s">
        <v>14</v>
      </c>
      <c r="E47" s="54"/>
      <c r="F47" s="54"/>
      <c r="G47" s="54"/>
      <c r="H47" s="54"/>
      <c r="I47" s="54"/>
      <c r="J47" s="110"/>
      <c r="K47" s="54"/>
      <c r="L47" s="54"/>
      <c r="M47" s="54"/>
      <c r="N47" s="54"/>
      <c r="O47" s="54"/>
      <c r="P47" s="54"/>
      <c r="Q47" s="54"/>
      <c r="R47" s="54"/>
    </row>
    <row r="48" spans="1:18" s="72" customFormat="1" ht="14.25" customHeight="1" x14ac:dyDescent="0.3">
      <c r="A48" s="79" t="s">
        <v>145</v>
      </c>
      <c r="B48" s="92">
        <f>'Algemene parameters'!B42/'Algemene parameters'!B14/B34*1000</f>
        <v>219.91760220784235</v>
      </c>
      <c r="C48" s="40" t="s">
        <v>91</v>
      </c>
      <c r="D48" s="43" t="s">
        <v>146</v>
      </c>
      <c r="E48" s="43"/>
      <c r="F48" s="43"/>
      <c r="G48" s="43"/>
      <c r="H48" s="43"/>
      <c r="I48" s="43"/>
      <c r="J48" s="87"/>
      <c r="K48" s="40"/>
      <c r="L48" s="40"/>
      <c r="M48" s="40"/>
      <c r="N48" s="40"/>
      <c r="O48" s="40"/>
      <c r="P48" s="40"/>
      <c r="Q48" s="40"/>
      <c r="R48" s="40"/>
    </row>
    <row r="49" spans="1:18" s="72" customFormat="1" ht="14.25" customHeight="1" x14ac:dyDescent="0.3">
      <c r="A49" s="79" t="s">
        <v>147</v>
      </c>
      <c r="B49" s="92">
        <f>(('Algemene parameters'!B44/1000*B32))/B34*1000</f>
        <v>174.81606705594274</v>
      </c>
      <c r="C49" s="40" t="s">
        <v>91</v>
      </c>
      <c r="D49" s="43" t="s">
        <v>148</v>
      </c>
      <c r="E49" s="43"/>
      <c r="F49" s="43"/>
      <c r="G49" s="43"/>
      <c r="H49" s="43"/>
      <c r="I49" s="43"/>
      <c r="J49" s="87"/>
      <c r="K49" s="40"/>
      <c r="L49" s="40"/>
      <c r="M49" s="40"/>
      <c r="N49" s="40"/>
      <c r="O49" s="40"/>
      <c r="P49" s="40"/>
      <c r="Q49" s="40"/>
      <c r="R49" s="40"/>
    </row>
    <row r="50" spans="1:18" s="72" customFormat="1" ht="14.25" customHeight="1" x14ac:dyDescent="0.3">
      <c r="A50" s="79" t="s">
        <v>149</v>
      </c>
      <c r="B50" s="92">
        <f>(('Algemene parameters'!B45/1000*B32))/B34*1000</f>
        <v>73.756319457524981</v>
      </c>
      <c r="C50" s="40" t="s">
        <v>91</v>
      </c>
      <c r="D50" s="43" t="s">
        <v>150</v>
      </c>
      <c r="E50" s="43"/>
      <c r="F50" s="43"/>
      <c r="G50" s="43"/>
      <c r="H50" s="43"/>
      <c r="I50" s="43"/>
      <c r="J50" s="87"/>
      <c r="K50" s="40"/>
      <c r="L50" s="40"/>
      <c r="M50" s="40"/>
      <c r="N50" s="40"/>
      <c r="O50" s="40"/>
      <c r="P50" s="40"/>
      <c r="Q50" s="40"/>
      <c r="R50" s="40"/>
    </row>
    <row r="51" spans="1:18" s="72" customFormat="1" ht="14.25" customHeight="1" x14ac:dyDescent="0.3">
      <c r="A51" s="40" t="s">
        <v>151</v>
      </c>
      <c r="B51" s="92">
        <f>SUM(B48:B49)</f>
        <v>394.73366926378509</v>
      </c>
      <c r="C51" s="40" t="s">
        <v>91</v>
      </c>
      <c r="D51" s="43"/>
      <c r="E51" s="43"/>
      <c r="F51" s="43"/>
      <c r="G51" s="43"/>
      <c r="H51" s="43"/>
      <c r="I51" s="43"/>
      <c r="J51" s="89"/>
      <c r="K51" s="40"/>
      <c r="L51" s="40"/>
      <c r="M51" s="40"/>
      <c r="N51" s="40"/>
      <c r="O51" s="40"/>
      <c r="P51" s="40"/>
      <c r="Q51" s="40"/>
      <c r="R51" s="40"/>
    </row>
    <row r="52" spans="1:18" s="72" customFormat="1" ht="14.25" customHeight="1" x14ac:dyDescent="0.3">
      <c r="A52" s="40" t="s">
        <v>152</v>
      </c>
      <c r="B52" s="92">
        <f>B48+B50</f>
        <v>293.67392166536735</v>
      </c>
      <c r="C52" s="40" t="s">
        <v>91</v>
      </c>
      <c r="D52" s="43"/>
      <c r="E52" s="43"/>
      <c r="F52" s="43"/>
      <c r="G52" s="43"/>
      <c r="H52" s="43"/>
      <c r="I52" s="43"/>
      <c r="J52" s="89"/>
      <c r="K52" s="40"/>
      <c r="L52" s="40"/>
      <c r="M52" s="40"/>
      <c r="N52" s="40"/>
      <c r="O52" s="40"/>
      <c r="P52" s="40"/>
      <c r="Q52" s="40"/>
      <c r="R52" s="40"/>
    </row>
    <row r="53" spans="1:18" s="72" customFormat="1" ht="14.25" customHeight="1" x14ac:dyDescent="0.3">
      <c r="A53" s="40"/>
      <c r="B53" s="74"/>
      <c r="C53" s="40"/>
      <c r="D53" s="43"/>
      <c r="E53" s="43"/>
      <c r="F53" s="43"/>
      <c r="G53" s="43"/>
      <c r="H53" s="43"/>
      <c r="I53" s="43"/>
      <c r="J53" s="89"/>
      <c r="K53" s="40"/>
      <c r="L53" s="40"/>
      <c r="M53" s="40"/>
      <c r="N53" s="40"/>
      <c r="O53" s="40"/>
      <c r="P53" s="40"/>
      <c r="Q53" s="40"/>
      <c r="R53" s="40"/>
    </row>
    <row r="54" spans="1:18" s="109" customFormat="1" ht="14.25" customHeight="1" x14ac:dyDescent="0.3">
      <c r="A54" s="108" t="s">
        <v>153</v>
      </c>
      <c r="B54" s="50" t="s">
        <v>12</v>
      </c>
      <c r="C54" s="108" t="s">
        <v>13</v>
      </c>
      <c r="D54" s="108" t="s">
        <v>14</v>
      </c>
      <c r="E54" s="43"/>
      <c r="F54" s="43"/>
      <c r="G54" s="43"/>
      <c r="H54" s="43"/>
      <c r="I54" s="43"/>
      <c r="J54" s="110"/>
      <c r="K54" s="54"/>
      <c r="L54" s="54"/>
      <c r="M54" s="54"/>
      <c r="N54" s="54"/>
      <c r="O54" s="54"/>
      <c r="P54" s="54"/>
      <c r="Q54" s="54"/>
      <c r="R54" s="54"/>
    </row>
    <row r="55" spans="1:18" s="72" customFormat="1" ht="14.25" customHeight="1" x14ac:dyDescent="0.3">
      <c r="A55" s="79" t="s">
        <v>154</v>
      </c>
      <c r="B55" s="92">
        <f>B59/$B$34*1000</f>
        <v>146.61173480522822</v>
      </c>
      <c r="C55" s="40" t="s">
        <v>91</v>
      </c>
      <c r="D55" s="151" t="s">
        <v>155</v>
      </c>
      <c r="E55" s="151"/>
      <c r="F55" s="151"/>
      <c r="G55" s="151"/>
      <c r="H55" s="151"/>
      <c r="I55" s="151"/>
      <c r="J55" s="152"/>
      <c r="K55" s="40"/>
      <c r="L55" s="40"/>
      <c r="M55" s="40"/>
      <c r="N55" s="40"/>
      <c r="O55" s="40"/>
      <c r="P55" s="40"/>
      <c r="Q55" s="40"/>
      <c r="R55" s="40"/>
    </row>
    <row r="56" spans="1:18" s="72" customFormat="1" ht="14.25" customHeight="1" x14ac:dyDescent="0.3">
      <c r="A56" s="79" t="s">
        <v>156</v>
      </c>
      <c r="B56" s="92">
        <f t="shared" ref="B56:B57" si="0">B60/$B$34*1000</f>
        <v>116.54404470396184</v>
      </c>
      <c r="C56" s="40" t="s">
        <v>91</v>
      </c>
      <c r="D56" s="151" t="s">
        <v>155</v>
      </c>
      <c r="E56" s="151"/>
      <c r="F56" s="151"/>
      <c r="G56" s="151"/>
      <c r="H56" s="151"/>
      <c r="I56" s="151"/>
      <c r="J56" s="152"/>
      <c r="K56" s="40"/>
      <c r="L56" s="40"/>
      <c r="M56" s="40"/>
      <c r="N56" s="40"/>
      <c r="O56" s="40"/>
      <c r="P56" s="40"/>
      <c r="Q56" s="40"/>
      <c r="R56" s="40"/>
    </row>
    <row r="57" spans="1:18" s="72" customFormat="1" ht="14.25" customHeight="1" x14ac:dyDescent="0.3">
      <c r="A57" s="79" t="s">
        <v>157</v>
      </c>
      <c r="B57" s="92">
        <f t="shared" si="0"/>
        <v>49.170879638349973</v>
      </c>
      <c r="C57" s="40" t="s">
        <v>91</v>
      </c>
      <c r="D57" s="151" t="s">
        <v>155</v>
      </c>
      <c r="E57" s="151"/>
      <c r="F57" s="151"/>
      <c r="G57" s="151"/>
      <c r="H57" s="151"/>
      <c r="I57" s="151"/>
      <c r="J57" s="152"/>
      <c r="K57" s="40"/>
      <c r="L57" s="40"/>
      <c r="M57" s="40"/>
      <c r="N57" s="40"/>
      <c r="O57" s="40"/>
      <c r="P57" s="40"/>
      <c r="Q57" s="40"/>
      <c r="R57" s="40"/>
    </row>
    <row r="58" spans="1:18" s="72" customFormat="1" ht="14.25" customHeight="1" x14ac:dyDescent="0.3">
      <c r="A58" s="79"/>
      <c r="B58" s="92"/>
      <c r="C58" s="40"/>
      <c r="D58" s="43"/>
      <c r="E58" s="43"/>
      <c r="F58" s="43"/>
      <c r="G58" s="43"/>
      <c r="H58" s="43"/>
      <c r="I58" s="43"/>
      <c r="J58" s="87"/>
      <c r="K58" s="40"/>
      <c r="L58" s="40"/>
      <c r="M58" s="40"/>
      <c r="N58" s="40"/>
      <c r="O58" s="40"/>
      <c r="P58" s="40"/>
      <c r="Q58" s="40"/>
      <c r="R58" s="40"/>
    </row>
    <row r="59" spans="1:18" s="72" customFormat="1" ht="14.25" customHeight="1" x14ac:dyDescent="0.3">
      <c r="A59" s="79" t="s">
        <v>154</v>
      </c>
      <c r="B59" s="93">
        <f>2/3*'Algemene parameters'!B42/'Algemene parameters'!B14</f>
        <v>2.6686686859918506E-2</v>
      </c>
      <c r="C59" s="40" t="s">
        <v>92</v>
      </c>
      <c r="D59" s="43"/>
      <c r="E59" s="43"/>
      <c r="F59" s="43"/>
      <c r="G59" s="43"/>
      <c r="H59" s="43"/>
      <c r="I59" s="43"/>
      <c r="J59" s="87"/>
      <c r="K59" s="40"/>
      <c r="L59" s="40"/>
      <c r="M59" s="40"/>
      <c r="N59" s="40"/>
      <c r="O59" s="40"/>
      <c r="P59" s="40"/>
      <c r="Q59" s="40"/>
      <c r="R59" s="40"/>
    </row>
    <row r="60" spans="1:18" s="72" customFormat="1" ht="14.25" customHeight="1" x14ac:dyDescent="0.3">
      <c r="A60" s="79" t="s">
        <v>156</v>
      </c>
      <c r="B60" s="93">
        <f>2/3*'Algemene parameters'!B44*'Algemene parameters'!B13/'Algemene parameters'!B14/1000</f>
        <v>2.1213679999999999E-2</v>
      </c>
      <c r="C60" s="40" t="s">
        <v>92</v>
      </c>
      <c r="D60" s="43"/>
      <c r="E60" s="43"/>
      <c r="F60" s="43"/>
      <c r="G60" s="43"/>
      <c r="H60" s="43"/>
      <c r="I60" s="43"/>
      <c r="J60" s="87"/>
      <c r="K60" s="40"/>
      <c r="L60" s="40"/>
      <c r="M60" s="40"/>
      <c r="N60" s="40"/>
      <c r="O60" s="40"/>
      <c r="P60" s="40"/>
      <c r="Q60" s="40"/>
      <c r="R60" s="40"/>
    </row>
    <row r="61" spans="1:18" s="72" customFormat="1" ht="14.25" customHeight="1" x14ac:dyDescent="0.3">
      <c r="A61" s="79" t="s">
        <v>157</v>
      </c>
      <c r="B61" s="93">
        <f>2/3*'Algemene parameters'!B45*'Algemene parameters'!B13/'Algemene parameters'!B14/1000</f>
        <v>8.9502239999999979E-3</v>
      </c>
      <c r="C61" s="40" t="s">
        <v>92</v>
      </c>
      <c r="D61" s="43"/>
      <c r="E61" s="43"/>
      <c r="F61" s="43"/>
      <c r="G61" s="43"/>
      <c r="H61" s="43"/>
      <c r="I61" s="43"/>
      <c r="J61" s="87"/>
      <c r="K61" s="40"/>
      <c r="L61" s="40"/>
      <c r="M61" s="40"/>
      <c r="N61" s="40"/>
      <c r="O61" s="40"/>
      <c r="P61" s="40"/>
      <c r="Q61" s="40"/>
      <c r="R61" s="40"/>
    </row>
    <row r="62" spans="1:18" s="72" customFormat="1" ht="14.25" customHeight="1" x14ac:dyDescent="0.3">
      <c r="A62" s="79"/>
      <c r="B62" s="92"/>
      <c r="C62" s="40"/>
      <c r="D62" s="94"/>
      <c r="I62" s="40"/>
      <c r="J62" s="87"/>
      <c r="K62" s="40"/>
      <c r="L62" s="40"/>
      <c r="M62" s="40"/>
      <c r="N62" s="40"/>
      <c r="O62" s="40"/>
      <c r="P62" s="40"/>
      <c r="Q62" s="40"/>
      <c r="R62" s="40"/>
    </row>
    <row r="63" spans="1:18" s="72" customFormat="1" ht="14.25" customHeight="1" x14ac:dyDescent="0.3">
      <c r="A63" s="95" t="s">
        <v>158</v>
      </c>
      <c r="B63" s="97">
        <f>B59+B60</f>
        <v>4.7900366859918504E-2</v>
      </c>
      <c r="C63" s="40" t="s">
        <v>92</v>
      </c>
      <c r="D63" s="76"/>
      <c r="E63" s="40"/>
      <c r="F63" s="40"/>
      <c r="G63" s="40"/>
      <c r="H63" s="40"/>
      <c r="I63" s="40"/>
      <c r="J63" s="89"/>
      <c r="K63" s="40"/>
      <c r="L63" s="40"/>
      <c r="M63" s="40"/>
      <c r="N63" s="40"/>
      <c r="O63" s="40"/>
      <c r="P63" s="40"/>
      <c r="Q63" s="40"/>
      <c r="R63" s="40"/>
    </row>
    <row r="64" spans="1:18" s="72" customFormat="1" ht="14.25" customHeight="1" x14ac:dyDescent="0.3">
      <c r="A64" s="95" t="s">
        <v>159</v>
      </c>
      <c r="B64" s="97">
        <f>B59+B61</f>
        <v>3.5636910859918505E-2</v>
      </c>
      <c r="C64" s="40" t="s">
        <v>92</v>
      </c>
      <c r="D64" s="76"/>
      <c r="E64" s="40"/>
      <c r="F64" s="40"/>
      <c r="G64" s="40"/>
      <c r="H64" s="40"/>
      <c r="I64" s="40"/>
      <c r="J64" s="89"/>
      <c r="K64" s="40"/>
      <c r="L64" s="40"/>
      <c r="M64" s="40"/>
      <c r="N64" s="40"/>
      <c r="O64" s="40"/>
      <c r="P64" s="40"/>
      <c r="Q64" s="40"/>
      <c r="R64" s="40"/>
    </row>
    <row r="65" spans="1:18" s="72" customFormat="1" ht="14.25" customHeight="1" x14ac:dyDescent="0.3">
      <c r="A65" s="95" t="s">
        <v>160</v>
      </c>
      <c r="B65" s="97">
        <f>B59</f>
        <v>2.6686686859918506E-2</v>
      </c>
      <c r="C65" s="40" t="s">
        <v>92</v>
      </c>
      <c r="D65" s="76"/>
      <c r="E65" s="40"/>
      <c r="F65" s="40"/>
      <c r="G65" s="40"/>
      <c r="H65" s="40"/>
      <c r="I65" s="40"/>
      <c r="J65" s="89"/>
      <c r="K65" s="40"/>
      <c r="L65" s="40"/>
      <c r="M65" s="40"/>
      <c r="N65" s="40"/>
      <c r="O65" s="40"/>
      <c r="P65" s="40"/>
      <c r="Q65" s="40"/>
      <c r="R65" s="40"/>
    </row>
    <row r="66" spans="1:18" s="142" customFormat="1" x14ac:dyDescent="0.2">
      <c r="A66" s="140"/>
      <c r="B66" s="141"/>
      <c r="C66" s="15"/>
      <c r="D66" s="140"/>
      <c r="E66" s="140"/>
      <c r="F66" s="140"/>
      <c r="G66" s="140"/>
      <c r="H66" s="140"/>
      <c r="I66" s="140"/>
      <c r="J66" s="140"/>
      <c r="K66" s="140"/>
      <c r="L66" s="140"/>
      <c r="M66" s="140"/>
      <c r="N66" s="140"/>
      <c r="O66" s="140"/>
      <c r="P66" s="140"/>
      <c r="Q66" s="140"/>
      <c r="R66" s="140"/>
    </row>
    <row r="67" spans="1:18" s="72" customFormat="1" ht="14.25" customHeight="1" x14ac:dyDescent="0.3">
      <c r="A67" s="95"/>
      <c r="B67" s="92"/>
      <c r="C67" s="40"/>
      <c r="D67" s="76"/>
      <c r="E67" s="40"/>
      <c r="F67" s="40"/>
      <c r="G67" s="40"/>
      <c r="H67" s="40"/>
      <c r="I67" s="40"/>
      <c r="J67" s="89"/>
      <c r="K67" s="40"/>
      <c r="L67" s="40"/>
      <c r="M67" s="40"/>
      <c r="N67" s="40"/>
      <c r="O67" s="40"/>
      <c r="P67" s="40"/>
      <c r="Q67" s="40"/>
      <c r="R67" s="40"/>
    </row>
    <row r="68" spans="1:18" s="72" customFormat="1" ht="14.25" customHeight="1" x14ac:dyDescent="0.3">
      <c r="A68" s="95"/>
      <c r="B68" s="92"/>
      <c r="C68" s="40"/>
      <c r="D68" s="76"/>
      <c r="E68" s="40"/>
      <c r="F68" s="40"/>
      <c r="G68" s="40"/>
      <c r="H68" s="40"/>
      <c r="I68" s="40"/>
      <c r="J68" s="89"/>
      <c r="K68" s="40"/>
      <c r="L68" s="40"/>
      <c r="M68" s="40"/>
      <c r="N68" s="40"/>
      <c r="O68" s="40"/>
      <c r="P68" s="40"/>
      <c r="Q68" s="40"/>
      <c r="R68" s="40"/>
    </row>
    <row r="69" spans="1:18" s="72" customFormat="1" ht="14.25" customHeight="1" x14ac:dyDescent="0.3">
      <c r="A69" s="40"/>
      <c r="B69" s="74"/>
      <c r="C69" s="40"/>
      <c r="D69" s="40"/>
      <c r="E69" s="40"/>
      <c r="F69" s="40"/>
      <c r="G69" s="40"/>
      <c r="H69" s="40"/>
      <c r="I69" s="40"/>
      <c r="J69" s="89"/>
      <c r="K69" s="40"/>
      <c r="L69" s="40"/>
      <c r="M69" s="40"/>
      <c r="N69" s="40"/>
      <c r="O69" s="40"/>
      <c r="P69" s="40"/>
      <c r="Q69" s="40"/>
      <c r="R69" s="40"/>
    </row>
    <row r="70" spans="1:18" s="48" customFormat="1" ht="14.25" customHeight="1" x14ac:dyDescent="0.3">
      <c r="A70" s="46" t="s">
        <v>161</v>
      </c>
      <c r="B70" s="46"/>
      <c r="C70" s="46"/>
      <c r="D70" s="46"/>
      <c r="E70" s="46"/>
      <c r="F70" s="46"/>
      <c r="G70" s="46"/>
      <c r="H70" s="46"/>
      <c r="I70" s="46"/>
      <c r="J70" s="46"/>
      <c r="K70" s="46"/>
    </row>
    <row r="71" spans="1:18" s="95" customFormat="1" ht="14.25" customHeight="1" x14ac:dyDescent="0.3">
      <c r="A71" s="166" t="s">
        <v>1</v>
      </c>
      <c r="B71" s="167"/>
      <c r="C71" s="167"/>
      <c r="D71" s="167"/>
      <c r="E71" s="167"/>
      <c r="F71" s="167"/>
      <c r="G71" s="167"/>
      <c r="H71" s="167"/>
      <c r="I71" s="167"/>
      <c r="J71" s="167"/>
      <c r="K71" s="167"/>
      <c r="L71" s="167"/>
      <c r="M71" s="167"/>
      <c r="N71" s="167"/>
      <c r="O71" s="169"/>
      <c r="P71" s="169"/>
      <c r="Q71" s="169"/>
      <c r="R71" s="169"/>
    </row>
    <row r="72" spans="1:18" s="14" customFormat="1" ht="14.25" customHeight="1" x14ac:dyDescent="0.3">
      <c r="A72" s="11"/>
      <c r="B72" s="12"/>
      <c r="C72" s="11"/>
      <c r="D72" s="11"/>
      <c r="E72" s="11"/>
      <c r="F72" s="11"/>
      <c r="G72" s="11"/>
      <c r="H72" s="11"/>
      <c r="I72" s="11"/>
      <c r="J72" s="11"/>
      <c r="K72" s="11"/>
      <c r="L72" s="11"/>
      <c r="M72" s="11"/>
      <c r="N72" s="11"/>
      <c r="O72" s="11"/>
      <c r="P72" s="11"/>
      <c r="Q72" s="11"/>
      <c r="R72" s="11"/>
    </row>
    <row r="73" spans="1:18" s="119" customFormat="1" ht="14.25" customHeight="1" x14ac:dyDescent="0.3">
      <c r="A73" s="120" t="s">
        <v>162</v>
      </c>
      <c r="B73" s="120"/>
      <c r="C73" s="121">
        <v>0</v>
      </c>
      <c r="D73" s="121">
        <v>1</v>
      </c>
      <c r="E73" s="121">
        <v>2</v>
      </c>
      <c r="F73" s="121">
        <v>3</v>
      </c>
      <c r="G73" s="121">
        <v>4</v>
      </c>
      <c r="H73" s="121">
        <v>5</v>
      </c>
      <c r="I73" s="121">
        <v>6</v>
      </c>
      <c r="J73" s="121">
        <v>7</v>
      </c>
      <c r="K73" s="121">
        <v>8</v>
      </c>
      <c r="L73" s="121">
        <v>9</v>
      </c>
      <c r="M73" s="121">
        <v>10</v>
      </c>
      <c r="N73" s="121">
        <v>11</v>
      </c>
      <c r="O73" s="121">
        <v>12</v>
      </c>
      <c r="P73" s="121">
        <v>13</v>
      </c>
      <c r="Q73" s="121">
        <v>14</v>
      </c>
      <c r="R73" s="121">
        <v>15</v>
      </c>
    </row>
    <row r="74" spans="1:18" s="133" customFormat="1" ht="14.25" customHeight="1" x14ac:dyDescent="0.3">
      <c r="A74" s="154" t="s">
        <v>163</v>
      </c>
      <c r="B74" s="123"/>
      <c r="C74" s="124"/>
      <c r="D74" s="125">
        <f t="shared" ref="D74:R74" si="1">POWER(1+$B$39,D73-$D$73)</f>
        <v>1</v>
      </c>
      <c r="E74" s="125">
        <f t="shared" si="1"/>
        <v>1.02</v>
      </c>
      <c r="F74" s="125">
        <f t="shared" si="1"/>
        <v>1.0404</v>
      </c>
      <c r="G74" s="125">
        <f t="shared" si="1"/>
        <v>1.0612079999999999</v>
      </c>
      <c r="H74" s="125">
        <f t="shared" si="1"/>
        <v>1.08243216</v>
      </c>
      <c r="I74" s="125">
        <f t="shared" si="1"/>
        <v>1.1040808032</v>
      </c>
      <c r="J74" s="125">
        <f t="shared" si="1"/>
        <v>1.1261624192640001</v>
      </c>
      <c r="K74" s="125">
        <f t="shared" si="1"/>
        <v>1.1486856676492798</v>
      </c>
      <c r="L74" s="125">
        <f t="shared" si="1"/>
        <v>1.1716593810022655</v>
      </c>
      <c r="M74" s="125">
        <f t="shared" si="1"/>
        <v>1.1950925686223108</v>
      </c>
      <c r="N74" s="125">
        <f t="shared" si="1"/>
        <v>1.2189944199947571</v>
      </c>
      <c r="O74" s="125">
        <f t="shared" si="1"/>
        <v>1.243374308394652</v>
      </c>
      <c r="P74" s="125">
        <f t="shared" si="1"/>
        <v>1.2682417945625453</v>
      </c>
      <c r="Q74" s="125">
        <f t="shared" si="1"/>
        <v>1.2936066304537961</v>
      </c>
      <c r="R74" s="125">
        <f t="shared" si="1"/>
        <v>1.3194787630628722</v>
      </c>
    </row>
    <row r="75" spans="1:18" s="133" customFormat="1" ht="14.25" customHeight="1" x14ac:dyDescent="0.3">
      <c r="A75" s="122"/>
      <c r="B75" s="123"/>
      <c r="C75" s="124"/>
      <c r="D75" s="125"/>
      <c r="E75" s="125"/>
      <c r="F75" s="125"/>
      <c r="G75" s="125"/>
      <c r="H75" s="125"/>
      <c r="I75" s="125"/>
      <c r="J75" s="125"/>
      <c r="K75" s="125"/>
      <c r="L75" s="125"/>
      <c r="M75" s="125"/>
      <c r="N75" s="125"/>
      <c r="O75" s="125"/>
      <c r="P75" s="125"/>
      <c r="Q75" s="125"/>
      <c r="R75" s="125"/>
    </row>
    <row r="76" spans="1:18" s="133" customFormat="1" ht="14.25" customHeight="1" x14ac:dyDescent="0.3">
      <c r="A76" s="126" t="s">
        <v>116</v>
      </c>
      <c r="B76" s="127"/>
      <c r="C76" s="127"/>
      <c r="D76" s="127"/>
      <c r="E76" s="127"/>
      <c r="F76" s="127"/>
      <c r="G76" s="127"/>
      <c r="H76" s="127"/>
      <c r="I76" s="127"/>
      <c r="J76" s="127"/>
      <c r="K76" s="127"/>
      <c r="L76" s="127"/>
      <c r="M76" s="127"/>
      <c r="N76" s="127"/>
      <c r="O76" s="127"/>
      <c r="P76" s="127"/>
      <c r="Q76" s="127"/>
      <c r="R76" s="127"/>
    </row>
    <row r="77" spans="1:18" s="133" customFormat="1" ht="14.25" customHeight="1" x14ac:dyDescent="0.3">
      <c r="A77" s="124" t="s">
        <v>164</v>
      </c>
      <c r="B77" s="123"/>
      <c r="C77" s="128">
        <f>-B22</f>
        <v>-4032000</v>
      </c>
      <c r="D77" s="124"/>
      <c r="E77" s="124"/>
      <c r="F77" s="124"/>
      <c r="G77" s="124"/>
      <c r="H77" s="124"/>
      <c r="I77" s="124"/>
      <c r="J77" s="124"/>
      <c r="K77" s="124"/>
      <c r="L77" s="124"/>
      <c r="M77" s="124"/>
      <c r="N77" s="128"/>
      <c r="O77" s="128"/>
      <c r="P77" s="124"/>
      <c r="Q77" s="124"/>
      <c r="R77" s="124"/>
    </row>
    <row r="78" spans="1:18" s="133" customFormat="1" ht="14.25" customHeight="1" x14ac:dyDescent="0.3">
      <c r="A78" s="124" t="s">
        <v>165</v>
      </c>
      <c r="B78" s="123"/>
      <c r="C78" s="128"/>
      <c r="D78" s="129">
        <f>-$B$25*D74</f>
        <v>-211008.37691592</v>
      </c>
      <c r="E78" s="129">
        <f>-$B$25*E74</f>
        <v>-215228.54445423841</v>
      </c>
      <c r="F78" s="129">
        <f t="shared" ref="F78:M78" si="2">-$B$25*F74</f>
        <v>-219533.11534332318</v>
      </c>
      <c r="G78" s="129">
        <f t="shared" si="2"/>
        <v>-223923.77765018962</v>
      </c>
      <c r="H78" s="129">
        <f t="shared" si="2"/>
        <v>-228402.25320319342</v>
      </c>
      <c r="I78" s="129">
        <f t="shared" si="2"/>
        <v>-232970.29826725728</v>
      </c>
      <c r="J78" s="129">
        <f t="shared" si="2"/>
        <v>-237629.70423260247</v>
      </c>
      <c r="K78" s="129">
        <f t="shared" si="2"/>
        <v>-242382.29831725446</v>
      </c>
      <c r="L78" s="129">
        <f t="shared" si="2"/>
        <v>-247229.94428359956</v>
      </c>
      <c r="M78" s="129">
        <f t="shared" si="2"/>
        <v>-252174.54316927155</v>
      </c>
      <c r="N78" s="129">
        <f>IF($B$37&gt;=N$73,-$B$25*N$74,0)</f>
        <v>0</v>
      </c>
      <c r="O78" s="129">
        <f>IF($B$37&gt;=O$73,-$B$25*O$74,0)</f>
        <v>0</v>
      </c>
      <c r="P78" s="129">
        <f>IF($B$37&gt;=P$73,-$B$25*P$74,0)</f>
        <v>0</v>
      </c>
      <c r="Q78" s="129">
        <f>IF($B$37&gt;=Q$73,-$B$25*Q$74,0)</f>
        <v>0</v>
      </c>
      <c r="R78" s="129">
        <f>IF($B$37&gt;=R$73,-$B$25*R$74,0)</f>
        <v>0</v>
      </c>
    </row>
    <row r="79" spans="1:18" s="133" customFormat="1" ht="14.25" customHeight="1" x14ac:dyDescent="0.3">
      <c r="A79" s="124" t="s">
        <v>166</v>
      </c>
      <c r="B79" s="123"/>
      <c r="C79" s="124"/>
      <c r="D79" s="128">
        <f>-($B$28*$B$18*1000)*D74</f>
        <v>-842526.64319888002</v>
      </c>
      <c r="E79" s="128">
        <f t="shared" ref="E79:M79" si="3">-($B$28*$B$18*1000)*E74</f>
        <v>-859377.17606285762</v>
      </c>
      <c r="F79" s="128">
        <f t="shared" si="3"/>
        <v>-876564.71958411473</v>
      </c>
      <c r="G79" s="128">
        <f t="shared" si="3"/>
        <v>-894096.01397579699</v>
      </c>
      <c r="H79" s="128">
        <f t="shared" si="3"/>
        <v>-911977.93425531301</v>
      </c>
      <c r="I79" s="128">
        <f t="shared" si="3"/>
        <v>-930217.49294041924</v>
      </c>
      <c r="J79" s="128">
        <f t="shared" si="3"/>
        <v>-948821.84279922768</v>
      </c>
      <c r="K79" s="128">
        <f t="shared" si="3"/>
        <v>-967798.27965521207</v>
      </c>
      <c r="L79" s="128">
        <f t="shared" si="3"/>
        <v>-987154.24524831644</v>
      </c>
      <c r="M79" s="128">
        <f t="shared" si="3"/>
        <v>-1006897.3301532827</v>
      </c>
      <c r="N79" s="128">
        <f>IF($B$37&gt;=N$73,-($B$28*$B$18*1000)*N74,0)</f>
        <v>0</v>
      </c>
      <c r="O79" s="128">
        <f>IF($B$37&gt;=O$73,-($B$28*$B$18*1000)*O74,0)</f>
        <v>0</v>
      </c>
      <c r="P79" s="128">
        <f>IF($B$37&gt;=P$73,-($B$28*$B$18*1000)*P74,0)</f>
        <v>0</v>
      </c>
      <c r="Q79" s="128">
        <f>IF($B$37&gt;=Q$73,-($B$28*$B$18*1000)*Q74,0)</f>
        <v>0</v>
      </c>
      <c r="R79" s="128">
        <f>IF($B$37&gt;=R$73,-($B$28*$B$18*1000)*R74,0)</f>
        <v>0</v>
      </c>
    </row>
    <row r="80" spans="1:18" s="133" customFormat="1" ht="14.25" customHeight="1" x14ac:dyDescent="0.3">
      <c r="A80" s="126" t="s">
        <v>167</v>
      </c>
      <c r="B80" s="126"/>
      <c r="C80" s="126"/>
      <c r="D80" s="126"/>
      <c r="E80" s="126"/>
      <c r="F80" s="126"/>
      <c r="G80" s="126"/>
      <c r="H80" s="126"/>
      <c r="I80" s="126"/>
      <c r="J80" s="126"/>
      <c r="K80" s="126"/>
      <c r="L80" s="126"/>
      <c r="M80" s="126"/>
      <c r="N80" s="126"/>
      <c r="O80" s="126"/>
      <c r="P80" s="126"/>
      <c r="Q80" s="126"/>
      <c r="R80" s="126"/>
    </row>
    <row r="81" spans="1:18" s="133" customFormat="1" ht="14.25" customHeight="1" x14ac:dyDescent="0.3">
      <c r="A81" s="124" t="s">
        <v>168</v>
      </c>
      <c r="B81" s="123"/>
      <c r="C81" s="124"/>
      <c r="D81" s="128">
        <f>$C$77/$B$38</f>
        <v>-403200</v>
      </c>
      <c r="E81" s="128">
        <f t="shared" ref="E81:M81" si="4">$C$77/$B$38</f>
        <v>-403200</v>
      </c>
      <c r="F81" s="128">
        <f t="shared" si="4"/>
        <v>-403200</v>
      </c>
      <c r="G81" s="128">
        <f t="shared" si="4"/>
        <v>-403200</v>
      </c>
      <c r="H81" s="128">
        <f t="shared" si="4"/>
        <v>-403200</v>
      </c>
      <c r="I81" s="128">
        <f t="shared" si="4"/>
        <v>-403200</v>
      </c>
      <c r="J81" s="128">
        <f t="shared" si="4"/>
        <v>-403200</v>
      </c>
      <c r="K81" s="128">
        <f t="shared" si="4"/>
        <v>-403200</v>
      </c>
      <c r="L81" s="128">
        <f t="shared" si="4"/>
        <v>-403200</v>
      </c>
      <c r="M81" s="128">
        <f t="shared" si="4"/>
        <v>-403200</v>
      </c>
      <c r="N81" s="128"/>
      <c r="O81" s="128"/>
      <c r="P81" s="128"/>
      <c r="Q81" s="128"/>
      <c r="R81" s="128"/>
    </row>
    <row r="82" spans="1:18" s="133" customFormat="1" ht="14.25" customHeight="1" x14ac:dyDescent="0.3">
      <c r="A82" s="130" t="s">
        <v>169</v>
      </c>
      <c r="B82" s="123"/>
      <c r="C82" s="124"/>
      <c r="D82" s="128">
        <f>-IPMT($B$40,D73,$B$38,$B$42*$C$77)</f>
        <v>-134930.88000000003</v>
      </c>
      <c r="E82" s="128">
        <f t="shared" ref="E82:M82" si="5">-IPMT($B$40,E73,$B$38,$B$42*$C$77)</f>
        <v>-124573.14481385231</v>
      </c>
      <c r="F82" s="128">
        <f t="shared" si="5"/>
        <v>-113619.83985450109</v>
      </c>
      <c r="G82" s="128">
        <f t="shared" si="5"/>
        <v>-102036.71985998718</v>
      </c>
      <c r="H82" s="128">
        <f t="shared" si="5"/>
        <v>-89787.570465788711</v>
      </c>
      <c r="I82" s="128">
        <f t="shared" si="5"/>
        <v>-76834.094981423827</v>
      </c>
      <c r="J82" s="128">
        <f t="shared" si="5"/>
        <v>-63135.794656707956</v>
      </c>
      <c r="K82" s="128">
        <f t="shared" si="5"/>
        <v>-48649.842063320946</v>
      </c>
      <c r="L82" s="128">
        <f t="shared" si="5"/>
        <v>-33330.947195814166</v>
      </c>
      <c r="M82" s="128">
        <f t="shared" si="5"/>
        <v>-17131.21587342575</v>
      </c>
      <c r="N82" s="128"/>
      <c r="O82" s="128"/>
      <c r="P82" s="128"/>
      <c r="Q82" s="128"/>
      <c r="R82" s="128"/>
    </row>
    <row r="83" spans="1:18" s="133" customFormat="1" ht="14.25" customHeight="1" x14ac:dyDescent="0.3">
      <c r="A83" s="130" t="s">
        <v>170</v>
      </c>
      <c r="B83" s="123"/>
      <c r="C83" s="124"/>
      <c r="D83" s="128">
        <f>-PPMT($B$40,D73,$B$38,$B$42*$C$77)</f>
        <v>-180134.52497648224</v>
      </c>
      <c r="E83" s="128">
        <f t="shared" ref="E83:M83" si="6">-PPMT($B$40,E73,$B$38,$B$42*$C$77)</f>
        <v>-190492.26016262994</v>
      </c>
      <c r="F83" s="128">
        <f t="shared" si="6"/>
        <v>-201445.5651219812</v>
      </c>
      <c r="G83" s="128">
        <f t="shared" si="6"/>
        <v>-213028.68511649509</v>
      </c>
      <c r="H83" s="128">
        <f t="shared" si="6"/>
        <v>-225277.83451069356</v>
      </c>
      <c r="I83" s="128">
        <f t="shared" si="6"/>
        <v>-238231.30999505846</v>
      </c>
      <c r="J83" s="128">
        <f t="shared" si="6"/>
        <v>-251929.61031977428</v>
      </c>
      <c r="K83" s="128">
        <f t="shared" si="6"/>
        <v>-266415.5629131613</v>
      </c>
      <c r="L83" s="128">
        <f t="shared" si="6"/>
        <v>-281734.4577806681</v>
      </c>
      <c r="M83" s="128">
        <f t="shared" si="6"/>
        <v>-297934.1891030565</v>
      </c>
      <c r="N83" s="128"/>
      <c r="O83" s="128"/>
      <c r="P83" s="128"/>
      <c r="Q83" s="128"/>
      <c r="R83" s="128"/>
    </row>
    <row r="84" spans="1:18" s="134" customFormat="1" ht="14.25" customHeight="1" x14ac:dyDescent="0.3">
      <c r="A84" s="124" t="s">
        <v>171</v>
      </c>
      <c r="B84" s="131"/>
      <c r="C84" s="122"/>
      <c r="D84" s="128">
        <f>SUM(D82:D83)</f>
        <v>-315065.40497648227</v>
      </c>
      <c r="E84" s="128">
        <f t="shared" ref="E84:M84" si="7">SUM(E82:E83)</f>
        <v>-315065.40497648227</v>
      </c>
      <c r="F84" s="128">
        <f>SUM(F82:F83)</f>
        <v>-315065.40497648227</v>
      </c>
      <c r="G84" s="128">
        <f t="shared" si="7"/>
        <v>-315065.40497648227</v>
      </c>
      <c r="H84" s="128">
        <f t="shared" si="7"/>
        <v>-315065.40497648227</v>
      </c>
      <c r="I84" s="128">
        <f t="shared" si="7"/>
        <v>-315065.40497648227</v>
      </c>
      <c r="J84" s="128">
        <f t="shared" si="7"/>
        <v>-315065.40497648221</v>
      </c>
      <c r="K84" s="128">
        <f t="shared" si="7"/>
        <v>-315065.40497648227</v>
      </c>
      <c r="L84" s="128">
        <f t="shared" si="7"/>
        <v>-315065.40497648227</v>
      </c>
      <c r="M84" s="128">
        <f t="shared" si="7"/>
        <v>-315065.40497648227</v>
      </c>
      <c r="N84" s="128"/>
      <c r="O84" s="128"/>
      <c r="P84" s="128"/>
      <c r="Q84" s="128"/>
      <c r="R84" s="128"/>
    </row>
    <row r="85" spans="1:18" s="133" customFormat="1" ht="14.25" customHeight="1" x14ac:dyDescent="0.3">
      <c r="A85" s="126" t="s">
        <v>172</v>
      </c>
      <c r="B85" s="126"/>
      <c r="C85" s="126"/>
      <c r="D85" s="126"/>
      <c r="E85" s="126"/>
      <c r="F85" s="126"/>
      <c r="G85" s="126"/>
      <c r="H85" s="126"/>
      <c r="I85" s="126"/>
      <c r="J85" s="126"/>
      <c r="K85" s="126"/>
      <c r="L85" s="126"/>
      <c r="M85" s="126"/>
      <c r="N85" s="126"/>
      <c r="O85" s="126"/>
      <c r="P85" s="126"/>
      <c r="Q85" s="126"/>
      <c r="R85" s="126"/>
    </row>
    <row r="86" spans="1:18" s="133" customFormat="1" ht="14.25" customHeight="1" x14ac:dyDescent="0.3">
      <c r="A86" s="124" t="s">
        <v>173</v>
      </c>
      <c r="B86" s="123"/>
      <c r="C86" s="124"/>
      <c r="D86" s="128">
        <f>D78+D79+D81+D82</f>
        <v>-1591665.9001148001</v>
      </c>
      <c r="E86" s="128">
        <f t="shared" ref="E86:L86" si="8">E78+E79+E81+E82</f>
        <v>-1602378.8653309485</v>
      </c>
      <c r="F86" s="128">
        <f t="shared" si="8"/>
        <v>-1612917.674781939</v>
      </c>
      <c r="G86" s="128">
        <f t="shared" si="8"/>
        <v>-1623256.5114859738</v>
      </c>
      <c r="H86" s="128">
        <f t="shared" si="8"/>
        <v>-1633367.757924295</v>
      </c>
      <c r="I86" s="128">
        <f t="shared" si="8"/>
        <v>-1643221.8861891003</v>
      </c>
      <c r="J86" s="128">
        <f t="shared" si="8"/>
        <v>-1652787.341688538</v>
      </c>
      <c r="K86" s="128">
        <f t="shared" si="8"/>
        <v>-1662030.4200357876</v>
      </c>
      <c r="L86" s="128">
        <f t="shared" si="8"/>
        <v>-1670915.1367277303</v>
      </c>
      <c r="M86" s="128">
        <f>M78+M79+M81+M82</f>
        <v>-1679403.0891959802</v>
      </c>
      <c r="N86" s="128">
        <f>N78+N79+N81+N82</f>
        <v>0</v>
      </c>
      <c r="O86" s="128">
        <f t="shared" ref="O86:P86" si="9">O78+O79+O81+O82</f>
        <v>0</v>
      </c>
      <c r="P86" s="128">
        <f t="shared" si="9"/>
        <v>0</v>
      </c>
      <c r="Q86" s="128">
        <f>Q78+Q79+Q81+Q82</f>
        <v>0</v>
      </c>
      <c r="R86" s="128">
        <f>R78+R79+R81+R82</f>
        <v>0</v>
      </c>
    </row>
    <row r="87" spans="1:18" s="133" customFormat="1" ht="14.25" customHeight="1" x14ac:dyDescent="0.3">
      <c r="A87" s="124" t="s">
        <v>172</v>
      </c>
      <c r="B87" s="123"/>
      <c r="C87" s="124"/>
      <c r="D87" s="128">
        <f>-D86*$B$44</f>
        <v>397916.47502870002</v>
      </c>
      <c r="E87" s="128">
        <f t="shared" ref="E87:R87" si="10">-E86*$B$44</f>
        <v>400594.71633273712</v>
      </c>
      <c r="F87" s="128">
        <f t="shared" si="10"/>
        <v>403229.41869548475</v>
      </c>
      <c r="G87" s="128">
        <f t="shared" si="10"/>
        <v>405814.12787149346</v>
      </c>
      <c r="H87" s="128">
        <f t="shared" si="10"/>
        <v>408341.93948107376</v>
      </c>
      <c r="I87" s="128">
        <f t="shared" si="10"/>
        <v>410805.47154727508</v>
      </c>
      <c r="J87" s="128">
        <f t="shared" si="10"/>
        <v>413196.83542213449</v>
      </c>
      <c r="K87" s="128">
        <f t="shared" si="10"/>
        <v>415507.60500894691</v>
      </c>
      <c r="L87" s="128">
        <f t="shared" si="10"/>
        <v>417728.78418193257</v>
      </c>
      <c r="M87" s="128">
        <f t="shared" si="10"/>
        <v>419850.77229899506</v>
      </c>
      <c r="N87" s="128">
        <f t="shared" si="10"/>
        <v>0</v>
      </c>
      <c r="O87" s="128">
        <f t="shared" si="10"/>
        <v>0</v>
      </c>
      <c r="P87" s="128">
        <f t="shared" si="10"/>
        <v>0</v>
      </c>
      <c r="Q87" s="128">
        <f t="shared" si="10"/>
        <v>0</v>
      </c>
      <c r="R87" s="128">
        <f t="shared" si="10"/>
        <v>0</v>
      </c>
    </row>
    <row r="88" spans="1:18" s="133" customFormat="1" ht="14.25" customHeight="1" x14ac:dyDescent="0.3">
      <c r="A88" s="126" t="s">
        <v>174</v>
      </c>
      <c r="B88" s="126"/>
      <c r="C88" s="126"/>
      <c r="D88" s="126"/>
      <c r="E88" s="126"/>
      <c r="F88" s="126"/>
      <c r="G88" s="126"/>
      <c r="H88" s="126"/>
      <c r="I88" s="126"/>
      <c r="J88" s="126"/>
      <c r="K88" s="126"/>
      <c r="L88" s="126"/>
      <c r="M88" s="126"/>
      <c r="N88" s="126"/>
      <c r="O88" s="126"/>
      <c r="P88" s="126"/>
      <c r="Q88" s="126"/>
      <c r="R88" s="126"/>
    </row>
    <row r="89" spans="1:18" s="133" customFormat="1" ht="14.25" customHeight="1" x14ac:dyDescent="0.3">
      <c r="A89" s="124" t="s">
        <v>175</v>
      </c>
      <c r="B89" s="123"/>
      <c r="C89" s="128">
        <f>C77*B43</f>
        <v>-1685376</v>
      </c>
      <c r="D89" s="128">
        <f>D78+D79+D84+D87</f>
        <v>-970683.95006258227</v>
      </c>
      <c r="E89" s="128">
        <f t="shared" ref="E89:L89" si="11">E78+E79+E84+E87</f>
        <v>-989076.40916084126</v>
      </c>
      <c r="F89" s="128">
        <f t="shared" si="11"/>
        <v>-1007933.8212084353</v>
      </c>
      <c r="G89" s="128">
        <f t="shared" si="11"/>
        <v>-1027271.0687309754</v>
      </c>
      <c r="H89" s="128">
        <f t="shared" si="11"/>
        <v>-1047103.6529539148</v>
      </c>
      <c r="I89" s="128">
        <f t="shared" si="11"/>
        <v>-1067447.7246368837</v>
      </c>
      <c r="J89" s="128">
        <f t="shared" si="11"/>
        <v>-1088320.1165861778</v>
      </c>
      <c r="K89" s="128">
        <f t="shared" si="11"/>
        <v>-1109738.3779400019</v>
      </c>
      <c r="L89" s="128">
        <f t="shared" si="11"/>
        <v>-1131720.8103264659</v>
      </c>
      <c r="M89" s="128">
        <f>M78+M79+M84+M87</f>
        <v>-1154286.5060000415</v>
      </c>
      <c r="N89" s="128">
        <f t="shared" ref="N89:R89" si="12">N78+N79+N84+N87</f>
        <v>0</v>
      </c>
      <c r="O89" s="128">
        <f t="shared" si="12"/>
        <v>0</v>
      </c>
      <c r="P89" s="128">
        <f t="shared" si="12"/>
        <v>0</v>
      </c>
      <c r="Q89" s="128">
        <f t="shared" si="12"/>
        <v>0</v>
      </c>
      <c r="R89" s="128">
        <f t="shared" si="12"/>
        <v>0</v>
      </c>
    </row>
    <row r="90" spans="1:18" s="133" customFormat="1" ht="14.25" customHeight="1" x14ac:dyDescent="0.3">
      <c r="A90" s="132" t="s">
        <v>176</v>
      </c>
      <c r="B90" s="123"/>
      <c r="C90" s="124"/>
      <c r="D90" s="128">
        <f t="shared" ref="D90:M90" si="13">(1-$B$44)*($B$15*$B$17)</f>
        <v>21000000</v>
      </c>
      <c r="E90" s="128">
        <f t="shared" si="13"/>
        <v>21000000</v>
      </c>
      <c r="F90" s="128">
        <f t="shared" si="13"/>
        <v>21000000</v>
      </c>
      <c r="G90" s="128">
        <f t="shared" si="13"/>
        <v>21000000</v>
      </c>
      <c r="H90" s="128">
        <f t="shared" si="13"/>
        <v>21000000</v>
      </c>
      <c r="I90" s="128">
        <f t="shared" si="13"/>
        <v>21000000</v>
      </c>
      <c r="J90" s="128">
        <f t="shared" si="13"/>
        <v>21000000</v>
      </c>
      <c r="K90" s="128">
        <f t="shared" si="13"/>
        <v>21000000</v>
      </c>
      <c r="L90" s="128">
        <f t="shared" si="13"/>
        <v>21000000</v>
      </c>
      <c r="M90" s="128">
        <f t="shared" si="13"/>
        <v>21000000</v>
      </c>
      <c r="N90" s="128">
        <f>IF($B$37&gt;=N$73,(1-$B$44)*($B$15*$B$17),0)</f>
        <v>0</v>
      </c>
      <c r="O90" s="128">
        <f>IF($B$37&gt;=O$73,(1-$B$44)*($B$15*$B$17),0)</f>
        <v>0</v>
      </c>
      <c r="P90" s="128">
        <f>IF($B$37&gt;=P$73,(1-$B$44)*($B$15*$B$17),0)</f>
        <v>0</v>
      </c>
      <c r="Q90" s="128">
        <f>IF($B$37&gt;=Q$73,(1-$B$44)*($B$15*$B$17),0)</f>
        <v>0</v>
      </c>
      <c r="R90" s="128">
        <f>IF($B$37&gt;=R$73,(1-$B$44)*($B$15*$B$17),0)</f>
        <v>0</v>
      </c>
    </row>
    <row r="91" spans="1:18" s="133" customFormat="1" ht="14.25" customHeight="1" x14ac:dyDescent="0.3">
      <c r="A91" s="124"/>
      <c r="B91" s="123"/>
      <c r="C91" s="124"/>
      <c r="D91" s="128"/>
      <c r="E91" s="128"/>
      <c r="F91" s="128"/>
      <c r="G91" s="128"/>
      <c r="H91" s="128"/>
      <c r="I91" s="128"/>
      <c r="J91" s="128"/>
      <c r="K91" s="128"/>
      <c r="L91" s="128"/>
      <c r="M91" s="128"/>
      <c r="N91" s="128"/>
      <c r="O91" s="128"/>
      <c r="P91" s="124"/>
      <c r="Q91" s="124"/>
      <c r="R91" s="124"/>
    </row>
    <row r="92" spans="1:18" s="133" customFormat="1" ht="14.25" customHeight="1" x14ac:dyDescent="0.3">
      <c r="A92" s="124"/>
      <c r="B92" s="123"/>
      <c r="C92" s="124"/>
      <c r="D92" s="128"/>
      <c r="E92" s="128"/>
      <c r="F92" s="128"/>
      <c r="G92" s="128"/>
      <c r="H92" s="128"/>
      <c r="I92" s="128"/>
      <c r="J92" s="128"/>
      <c r="K92" s="128"/>
      <c r="L92" s="128"/>
      <c r="M92" s="128"/>
      <c r="N92" s="128"/>
      <c r="O92" s="128"/>
      <c r="P92" s="124"/>
      <c r="Q92" s="124"/>
      <c r="R92" s="124"/>
    </row>
    <row r="93" spans="1:18" s="133" customFormat="1" ht="14.25" customHeight="1" x14ac:dyDescent="0.3">
      <c r="A93" s="124"/>
      <c r="B93" s="123"/>
      <c r="C93" s="124"/>
      <c r="D93" s="124"/>
      <c r="E93" s="124"/>
      <c r="F93" s="124"/>
      <c r="G93" s="124"/>
      <c r="H93" s="124"/>
      <c r="I93" s="124"/>
      <c r="J93" s="124"/>
      <c r="K93" s="124"/>
      <c r="L93" s="124"/>
      <c r="M93" s="124"/>
      <c r="N93" s="124"/>
      <c r="O93" s="124"/>
      <c r="P93" s="124"/>
      <c r="Q93" s="124"/>
      <c r="R93" s="124"/>
    </row>
    <row r="94" spans="1:18" s="133" customFormat="1" ht="5.0999999999999996" customHeight="1" x14ac:dyDescent="0.3">
      <c r="B94" s="135"/>
    </row>
    <row r="95" spans="1:18" s="133" customFormat="1" ht="14.25" customHeight="1" x14ac:dyDescent="0.3">
      <c r="B95" s="136" t="s">
        <v>12</v>
      </c>
      <c r="C95" s="137" t="s">
        <v>13</v>
      </c>
    </row>
    <row r="96" spans="1:18" s="133" customFormat="1" ht="14.25" customHeight="1" x14ac:dyDescent="0.3">
      <c r="A96" s="134" t="s">
        <v>177</v>
      </c>
      <c r="B96" s="138">
        <f>ROUND(((-C89-NPV(B41,D89:R89))/NPV(B41,D90:R90)),4)</f>
        <v>6.3799999999999996E-2</v>
      </c>
      <c r="C96" s="133" t="s">
        <v>178</v>
      </c>
    </row>
    <row r="97" spans="1:18" s="133" customFormat="1" ht="14.25" customHeight="1" x14ac:dyDescent="0.3">
      <c r="A97" s="120" t="s">
        <v>77</v>
      </c>
      <c r="B97" s="143">
        <f>B96/B34*1000</f>
        <v>350.50543102907017</v>
      </c>
      <c r="C97" s="120" t="s">
        <v>179</v>
      </c>
    </row>
    <row r="98" spans="1:18" s="133" customFormat="1" ht="5.0999999999999996" customHeight="1" x14ac:dyDescent="0.3">
      <c r="A98" s="134"/>
      <c r="B98" s="139"/>
    </row>
    <row r="99" spans="1:18" s="142" customFormat="1" x14ac:dyDescent="0.2">
      <c r="A99" s="140"/>
      <c r="B99" s="141"/>
      <c r="C99" s="140"/>
      <c r="D99" s="140"/>
      <c r="E99" s="140"/>
      <c r="F99" s="140"/>
      <c r="G99" s="140"/>
      <c r="H99" s="140"/>
      <c r="I99" s="140"/>
      <c r="J99" s="140"/>
      <c r="K99" s="140"/>
      <c r="L99" s="140"/>
      <c r="M99" s="140"/>
      <c r="N99" s="140"/>
      <c r="O99" s="140"/>
      <c r="P99" s="140"/>
      <c r="Q99" s="140"/>
      <c r="R99" s="140"/>
    </row>
    <row r="100" spans="1:18" s="72" customFormat="1" ht="14.25" customHeight="1" x14ac:dyDescent="0.3">
      <c r="A100" s="95" t="s">
        <v>158</v>
      </c>
      <c r="B100" s="96">
        <f>B55+B56</f>
        <v>263.1557795091901</v>
      </c>
      <c r="C100" s="40" t="s">
        <v>91</v>
      </c>
      <c r="D100" s="76"/>
      <c r="E100" s="40"/>
      <c r="F100" s="40"/>
      <c r="G100" s="40"/>
      <c r="H100" s="40"/>
      <c r="I100" s="40"/>
      <c r="J100" s="89"/>
      <c r="K100" s="40"/>
      <c r="L100" s="40"/>
      <c r="M100" s="40"/>
      <c r="N100" s="40"/>
      <c r="O100" s="40"/>
      <c r="P100" s="40"/>
      <c r="Q100" s="40"/>
      <c r="R100" s="40"/>
    </row>
    <row r="101" spans="1:18" s="72" customFormat="1" ht="14.25" customHeight="1" x14ac:dyDescent="0.3">
      <c r="A101" s="95" t="s">
        <v>159</v>
      </c>
      <c r="B101" s="96">
        <f>B55+B57</f>
        <v>195.78261444357821</v>
      </c>
      <c r="C101" s="40" t="s">
        <v>91</v>
      </c>
      <c r="D101" s="76"/>
      <c r="E101" s="40"/>
      <c r="F101" s="40"/>
      <c r="G101" s="40"/>
      <c r="H101" s="40"/>
      <c r="I101" s="40"/>
      <c r="J101" s="89"/>
      <c r="K101" s="40"/>
      <c r="L101" s="40"/>
      <c r="M101" s="40"/>
      <c r="N101" s="40"/>
      <c r="O101" s="40"/>
      <c r="P101" s="40"/>
      <c r="Q101" s="40"/>
      <c r="R101" s="40"/>
    </row>
    <row r="102" spans="1:18" s="72" customFormat="1" ht="14.25" customHeight="1" x14ac:dyDescent="0.3">
      <c r="A102" s="95" t="s">
        <v>160</v>
      </c>
      <c r="B102" s="96">
        <f>B55</f>
        <v>146.61173480522822</v>
      </c>
      <c r="C102" s="40" t="s">
        <v>91</v>
      </c>
      <c r="D102" s="76"/>
      <c r="E102" s="40"/>
      <c r="F102" s="40"/>
      <c r="G102" s="40"/>
      <c r="H102" s="40"/>
      <c r="I102" s="40"/>
      <c r="J102" s="89"/>
      <c r="K102" s="40"/>
      <c r="L102" s="40"/>
      <c r="M102" s="40"/>
      <c r="N102" s="40"/>
      <c r="O102" s="40"/>
      <c r="P102" s="40"/>
      <c r="Q102" s="40"/>
      <c r="R102" s="40"/>
    </row>
    <row r="103" spans="1:18" s="72" customFormat="1" ht="14.25" customHeight="1" x14ac:dyDescent="0.3">
      <c r="A103" s="95"/>
      <c r="B103" s="96"/>
      <c r="C103" s="40"/>
      <c r="D103" s="76"/>
      <c r="E103" s="40"/>
      <c r="F103" s="40"/>
      <c r="G103" s="40"/>
      <c r="H103" s="40"/>
      <c r="I103" s="40"/>
      <c r="J103" s="89"/>
      <c r="K103" s="40"/>
      <c r="L103" s="40"/>
      <c r="M103" s="40"/>
      <c r="N103" s="40"/>
      <c r="O103" s="40"/>
      <c r="P103" s="40"/>
      <c r="Q103" s="40"/>
      <c r="R103" s="40"/>
    </row>
    <row r="104" spans="1:18" s="142" customFormat="1" x14ac:dyDescent="0.2">
      <c r="A104" s="140"/>
      <c r="B104" s="141"/>
      <c r="C104" s="140"/>
      <c r="D104" s="140"/>
      <c r="E104" s="140"/>
      <c r="F104" s="140"/>
      <c r="G104" s="140"/>
      <c r="H104" s="140"/>
      <c r="I104" s="140"/>
      <c r="J104" s="140"/>
      <c r="K104" s="140"/>
      <c r="L104" s="140"/>
      <c r="M104" s="140"/>
      <c r="N104" s="140"/>
      <c r="O104" s="140"/>
      <c r="P104" s="140"/>
      <c r="Q104" s="140"/>
      <c r="R104" s="140"/>
    </row>
    <row r="105" spans="1:18" x14ac:dyDescent="0.2">
      <c r="A105" s="7"/>
      <c r="C105" s="5"/>
      <c r="D105" s="5"/>
      <c r="E105" s="5"/>
      <c r="F105" s="5"/>
      <c r="G105" s="5"/>
      <c r="H105" s="5"/>
      <c r="I105" s="5"/>
      <c r="J105" s="5"/>
    </row>
    <row r="106" spans="1:18" x14ac:dyDescent="0.2">
      <c r="C106" s="5"/>
      <c r="D106" s="5"/>
      <c r="E106" s="5"/>
      <c r="F106" s="5"/>
      <c r="G106" s="5"/>
      <c r="H106" s="5"/>
      <c r="I106" s="5"/>
      <c r="J106" s="5"/>
    </row>
    <row r="107" spans="1:18" x14ac:dyDescent="0.2">
      <c r="C107" s="5"/>
      <c r="D107" s="5"/>
      <c r="E107" s="5"/>
      <c r="F107" s="5"/>
      <c r="G107" s="5"/>
      <c r="H107" s="5"/>
      <c r="I107" s="5"/>
      <c r="J107" s="5"/>
    </row>
    <row r="108" spans="1:18" x14ac:dyDescent="0.2">
      <c r="C108" s="5"/>
      <c r="D108" s="5"/>
      <c r="E108" s="5"/>
      <c r="F108" s="5"/>
      <c r="G108" s="5"/>
      <c r="H108" s="5"/>
      <c r="I108" s="5"/>
      <c r="J108" s="5"/>
    </row>
    <row r="109" spans="1:18" x14ac:dyDescent="0.2">
      <c r="C109" s="5"/>
      <c r="D109" s="5"/>
      <c r="E109" s="5"/>
      <c r="F109" s="5"/>
      <c r="G109" s="5"/>
      <c r="H109" s="5"/>
      <c r="I109" s="5"/>
      <c r="J109" s="5"/>
    </row>
    <row r="110" spans="1:18" x14ac:dyDescent="0.2">
      <c r="C110" s="5"/>
      <c r="D110" s="5"/>
      <c r="E110" s="5"/>
      <c r="F110" s="5"/>
      <c r="G110" s="5"/>
      <c r="H110" s="5"/>
      <c r="I110" s="5"/>
      <c r="J110" s="5"/>
    </row>
    <row r="111" spans="1:18" x14ac:dyDescent="0.2">
      <c r="C111" s="5"/>
      <c r="D111" s="5"/>
      <c r="E111" s="5"/>
      <c r="F111" s="5"/>
      <c r="G111" s="5"/>
      <c r="H111" s="5"/>
      <c r="I111" s="5"/>
      <c r="J111" s="5"/>
    </row>
    <row r="112" spans="1:18" x14ac:dyDescent="0.2">
      <c r="C112" s="5"/>
      <c r="D112" s="5"/>
      <c r="E112" s="5"/>
      <c r="F112" s="5"/>
      <c r="G112" s="5"/>
      <c r="H112" s="5"/>
      <c r="I112" s="5"/>
      <c r="J112" s="5"/>
    </row>
    <row r="113" spans="1:10" x14ac:dyDescent="0.2">
      <c r="C113" s="5"/>
      <c r="D113" s="5"/>
      <c r="E113" s="5"/>
      <c r="F113" s="5"/>
      <c r="G113" s="5"/>
      <c r="H113" s="5"/>
      <c r="I113" s="5"/>
      <c r="J113" s="5"/>
    </row>
    <row r="116" spans="1:10" x14ac:dyDescent="0.2">
      <c r="A116" s="7"/>
      <c r="B116" s="4"/>
    </row>
    <row r="117" spans="1:10" x14ac:dyDescent="0.2">
      <c r="A117" s="7"/>
      <c r="C117" s="5"/>
      <c r="D117" s="5"/>
      <c r="E117" s="5"/>
      <c r="F117" s="5"/>
      <c r="G117" s="5"/>
      <c r="H117" s="5"/>
      <c r="I117" s="5"/>
      <c r="J117" s="5"/>
    </row>
    <row r="118" spans="1:10" x14ac:dyDescent="0.2">
      <c r="C118" s="5"/>
      <c r="D118" s="5"/>
      <c r="E118" s="5"/>
      <c r="F118" s="5"/>
      <c r="G118" s="5"/>
      <c r="H118" s="5"/>
      <c r="I118" s="5"/>
      <c r="J118" s="5"/>
    </row>
    <row r="119" spans="1:10" x14ac:dyDescent="0.2">
      <c r="C119" s="5"/>
      <c r="D119" s="5"/>
      <c r="E119" s="5"/>
      <c r="F119" s="5"/>
      <c r="G119" s="5"/>
      <c r="H119" s="5"/>
      <c r="I119" s="5"/>
      <c r="J119" s="5"/>
    </row>
    <row r="120" spans="1:10" x14ac:dyDescent="0.2">
      <c r="C120" s="5"/>
      <c r="D120" s="5"/>
      <c r="E120" s="5"/>
      <c r="F120" s="5"/>
      <c r="G120" s="5"/>
      <c r="H120" s="5"/>
      <c r="I120" s="5"/>
      <c r="J120" s="5"/>
    </row>
    <row r="121" spans="1:10" x14ac:dyDescent="0.2">
      <c r="C121" s="5"/>
      <c r="D121" s="5"/>
      <c r="E121" s="5"/>
      <c r="F121" s="5"/>
      <c r="G121" s="5"/>
      <c r="H121" s="5"/>
      <c r="I121" s="5"/>
      <c r="J121" s="5"/>
    </row>
    <row r="122" spans="1:10" x14ac:dyDescent="0.2">
      <c r="C122" s="5"/>
      <c r="D122" s="5"/>
      <c r="E122" s="5"/>
      <c r="F122" s="5"/>
      <c r="G122" s="5"/>
      <c r="H122" s="5"/>
      <c r="I122" s="5"/>
      <c r="J122" s="5"/>
    </row>
    <row r="123" spans="1:10" x14ac:dyDescent="0.2">
      <c r="C123" s="5"/>
      <c r="D123" s="5"/>
      <c r="E123" s="5"/>
      <c r="F123" s="5"/>
      <c r="G123" s="5"/>
      <c r="H123" s="5"/>
      <c r="I123" s="5"/>
      <c r="J123" s="5"/>
    </row>
    <row r="124" spans="1:10" x14ac:dyDescent="0.2">
      <c r="C124" s="5"/>
      <c r="D124" s="5"/>
      <c r="E124" s="5"/>
      <c r="F124" s="5"/>
      <c r="G124" s="5"/>
      <c r="H124" s="5"/>
      <c r="I124" s="5"/>
      <c r="J124" s="5"/>
    </row>
    <row r="128" spans="1:10" x14ac:dyDescent="0.2">
      <c r="B128" s="4"/>
    </row>
    <row r="129" spans="1:10" x14ac:dyDescent="0.2">
      <c r="A129" s="7"/>
      <c r="C129" s="9"/>
      <c r="D129" s="9"/>
      <c r="E129" s="9"/>
      <c r="F129" s="9"/>
      <c r="G129" s="9"/>
      <c r="H129" s="9"/>
    </row>
    <row r="130" spans="1:10" x14ac:dyDescent="0.2">
      <c r="C130" s="9"/>
      <c r="D130" s="9"/>
      <c r="E130" s="9"/>
      <c r="F130" s="9"/>
      <c r="G130" s="9"/>
      <c r="H130" s="9"/>
    </row>
    <row r="131" spans="1:10" x14ac:dyDescent="0.2">
      <c r="C131" s="9"/>
      <c r="D131" s="9"/>
      <c r="E131" s="9"/>
      <c r="F131" s="9"/>
      <c r="G131" s="9"/>
      <c r="H131" s="9"/>
    </row>
    <row r="132" spans="1:10" x14ac:dyDescent="0.2">
      <c r="C132" s="9"/>
      <c r="D132" s="9"/>
      <c r="E132" s="9"/>
      <c r="F132" s="9"/>
      <c r="G132" s="9"/>
      <c r="H132" s="9"/>
    </row>
    <row r="133" spans="1:10" x14ac:dyDescent="0.2">
      <c r="C133" s="9"/>
      <c r="D133" s="9"/>
      <c r="E133" s="9"/>
      <c r="F133" s="9"/>
      <c r="G133" s="9"/>
      <c r="H133" s="9"/>
    </row>
    <row r="134" spans="1:10" x14ac:dyDescent="0.2">
      <c r="A134" s="7"/>
      <c r="C134" s="9"/>
      <c r="D134" s="9"/>
      <c r="E134" s="9"/>
      <c r="F134" s="9"/>
      <c r="G134" s="9"/>
      <c r="H134" s="9"/>
      <c r="I134" s="5"/>
      <c r="J134" s="5"/>
    </row>
    <row r="135" spans="1:10" x14ac:dyDescent="0.2">
      <c r="C135" s="9"/>
      <c r="D135" s="9"/>
      <c r="E135" s="9"/>
      <c r="F135" s="9"/>
      <c r="G135" s="9"/>
      <c r="H135" s="9"/>
      <c r="I135" s="5"/>
      <c r="J135" s="5"/>
    </row>
    <row r="136" spans="1:10" x14ac:dyDescent="0.2">
      <c r="C136" s="9"/>
      <c r="D136" s="9"/>
      <c r="E136" s="9"/>
      <c r="F136" s="9"/>
      <c r="G136" s="9"/>
      <c r="H136" s="9"/>
      <c r="I136" s="5"/>
      <c r="J136" s="5"/>
    </row>
    <row r="137" spans="1:10" x14ac:dyDescent="0.2">
      <c r="C137" s="9"/>
      <c r="D137" s="9"/>
      <c r="E137" s="9"/>
      <c r="F137" s="9"/>
      <c r="G137" s="9"/>
      <c r="H137" s="9"/>
      <c r="I137" s="5"/>
      <c r="J137" s="5"/>
    </row>
    <row r="138" spans="1:10" x14ac:dyDescent="0.2">
      <c r="C138" s="9"/>
      <c r="D138" s="9"/>
      <c r="E138" s="9"/>
      <c r="F138" s="9"/>
      <c r="G138" s="9"/>
      <c r="H138" s="9"/>
      <c r="I138" s="5"/>
      <c r="J138" s="5"/>
    </row>
    <row r="139" spans="1:10" x14ac:dyDescent="0.2">
      <c r="C139" s="9"/>
      <c r="D139" s="9"/>
      <c r="E139" s="9"/>
      <c r="F139" s="9"/>
      <c r="G139" s="9"/>
      <c r="H139" s="9"/>
      <c r="I139" s="5"/>
      <c r="J139" s="5"/>
    </row>
    <row r="140" spans="1:10" x14ac:dyDescent="0.2">
      <c r="C140" s="9"/>
      <c r="D140" s="9"/>
      <c r="E140" s="9"/>
      <c r="F140" s="9"/>
      <c r="G140" s="9"/>
      <c r="H140" s="9"/>
      <c r="I140" s="5"/>
      <c r="J140" s="5"/>
    </row>
    <row r="141" spans="1:10" ht="14.4" x14ac:dyDescent="0.3">
      <c r="B141" s="8"/>
      <c r="C141" s="5"/>
      <c r="D141" s="5"/>
      <c r="E141" s="5"/>
      <c r="F141" s="5"/>
      <c r="G141" s="5"/>
      <c r="H141" s="5"/>
      <c r="I141" s="5"/>
      <c r="J141" s="5"/>
    </row>
    <row r="142" spans="1:10" ht="14.4" x14ac:dyDescent="0.3">
      <c r="B142" s="8"/>
      <c r="C142" s="5"/>
      <c r="D142" s="5"/>
      <c r="E142" s="5"/>
      <c r="F142" s="5"/>
      <c r="G142" s="5"/>
      <c r="H142" s="5"/>
      <c r="I142" s="5"/>
      <c r="J142" s="5"/>
    </row>
    <row r="143" spans="1:10" ht="14.4" x14ac:dyDescent="0.3">
      <c r="B143" s="8"/>
    </row>
  </sheetData>
  <sheetProtection algorithmName="SHA-512" hashValue="8l21l2+4wSG1tuO83culjQvpBKm96xB6HGc30ZezP6wYoCUJ/sEaHPbx40WIoGLx6KuEcADoKeXaFEsuQU8duw==" saltValue="V4tqYXCok4Q/Vt8RumHf9Q==" spinCount="100000" sheet="1" objects="1" scenarios="1"/>
  <mergeCells count="2">
    <mergeCell ref="A10:R10"/>
    <mergeCell ref="A71:R71"/>
  </mergeCells>
  <conditionalFormatting sqref="A14:C14">
    <cfRule type="expression" dxfId="2" priority="3">
      <formula>B14=1</formula>
    </cfRule>
  </conditionalFormatting>
  <conditionalFormatting sqref="A16:D16">
    <cfRule type="expression" dxfId="1" priority="2">
      <formula>$B$16=1</formula>
    </cfRule>
  </conditionalFormatting>
  <conditionalFormatting sqref="P78:R79 P86:R87 P89:R90">
    <cfRule type="cellIs" dxfId="0" priority="1" operator="equal">
      <formula>0</formula>
    </cfRule>
  </conditionalFormatting>
  <dataValidations count="1">
    <dataValidation type="list" allowBlank="1" showInputMessage="1" showErrorMessage="1" sqref="A5:A6" xr:uid="{916E9529-2139-4771-938C-AEB238719B8C}">
      <formula1>INDIRECT("tech_param[Technologie]")</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36C77-6C83-4766-B853-9BE8BB9DF172}">
  <sheetPr>
    <tabColor rgb="FF009B48"/>
  </sheetPr>
  <dimension ref="A1:R46"/>
  <sheetViews>
    <sheetView showGridLines="0" workbookViewId="0">
      <selection activeCell="P14" sqref="P14"/>
    </sheetView>
  </sheetViews>
  <sheetFormatPr defaultColWidth="8.88671875" defaultRowHeight="14.25" customHeight="1" x14ac:dyDescent="0.2"/>
  <cols>
    <col min="1" max="1" width="57.44140625" style="1" customWidth="1"/>
    <col min="2" max="2" width="17.5546875" style="1" bestFit="1" customWidth="1"/>
    <col min="3" max="3" width="15.88671875" style="1" bestFit="1" customWidth="1"/>
    <col min="4" max="4" width="17" style="1" customWidth="1"/>
    <col min="5" max="14" width="8.88671875" style="1"/>
    <col min="15" max="15" width="29.33203125" style="1" customWidth="1"/>
    <col min="16" max="16384" width="8.88671875" style="1"/>
  </cols>
  <sheetData>
    <row r="1" spans="1:15" s="10" customFormat="1" ht="14.25" customHeight="1" x14ac:dyDescent="0.2">
      <c r="A1" s="64"/>
      <c r="B1" s="63"/>
      <c r="C1" s="63"/>
      <c r="D1" s="63"/>
      <c r="E1" s="63"/>
      <c r="F1" s="63"/>
      <c r="G1" s="63"/>
      <c r="H1" s="63"/>
      <c r="I1" s="63"/>
      <c r="J1" s="63"/>
      <c r="K1" s="63"/>
      <c r="L1" s="63"/>
      <c r="M1" s="63"/>
      <c r="N1" s="63"/>
      <c r="O1" s="63"/>
    </row>
    <row r="2" spans="1:15" s="16" customFormat="1" ht="28.2" customHeight="1" x14ac:dyDescent="0.3">
      <c r="A2" s="71" t="s">
        <v>9</v>
      </c>
      <c r="B2" s="63"/>
      <c r="C2" s="63"/>
      <c r="D2" s="63"/>
      <c r="E2" s="63"/>
      <c r="F2" s="63"/>
      <c r="G2" s="63"/>
      <c r="H2" s="63"/>
      <c r="I2" s="63"/>
      <c r="J2" s="63"/>
      <c r="K2" s="63"/>
      <c r="L2" s="63"/>
      <c r="M2" s="63"/>
      <c r="N2" s="63"/>
      <c r="O2" s="63"/>
    </row>
    <row r="3" spans="1:15" s="10" customFormat="1" ht="14.25" customHeight="1" x14ac:dyDescent="0.2">
      <c r="A3" s="64"/>
      <c r="B3" s="63"/>
      <c r="C3" s="63"/>
      <c r="D3" s="63"/>
      <c r="E3" s="63"/>
      <c r="F3" s="63"/>
      <c r="G3" s="63"/>
      <c r="H3" s="63"/>
      <c r="I3" s="63"/>
      <c r="J3" s="63"/>
      <c r="K3" s="63"/>
      <c r="L3" s="63"/>
      <c r="M3" s="63"/>
      <c r="N3" s="63"/>
      <c r="O3" s="63"/>
    </row>
    <row r="4" spans="1:15" s="19" customFormat="1" ht="14.25" customHeight="1" x14ac:dyDescent="0.3">
      <c r="A4" s="18"/>
      <c r="B4" s="12"/>
      <c r="C4" s="18"/>
      <c r="D4" s="18"/>
      <c r="E4" s="18"/>
      <c r="F4" s="18"/>
      <c r="G4" s="18"/>
      <c r="H4" s="18"/>
      <c r="I4" s="18"/>
      <c r="J4" s="18"/>
      <c r="K4" s="18"/>
      <c r="L4" s="11"/>
      <c r="M4" s="11"/>
      <c r="N4" s="11"/>
      <c r="O4" s="11"/>
    </row>
    <row r="5" spans="1:15" s="19" customFormat="1" ht="14.25" customHeight="1" x14ac:dyDescent="0.3">
      <c r="A5" s="18"/>
      <c r="B5" s="12"/>
      <c r="C5" s="18"/>
      <c r="D5" s="18"/>
      <c r="E5" s="18"/>
      <c r="F5" s="18"/>
      <c r="G5" s="18"/>
      <c r="H5" s="18"/>
      <c r="I5" s="18"/>
      <c r="J5" s="18"/>
      <c r="K5" s="18"/>
      <c r="L5" s="11"/>
      <c r="M5" s="11"/>
      <c r="N5" s="11"/>
      <c r="O5" s="11"/>
    </row>
    <row r="6" spans="1:15" s="48" customFormat="1" ht="14.25" customHeight="1" x14ac:dyDescent="0.3">
      <c r="A6" s="46" t="s">
        <v>10</v>
      </c>
      <c r="B6" s="47"/>
      <c r="C6" s="46"/>
      <c r="D6" s="46"/>
      <c r="E6" s="46"/>
      <c r="F6" s="46"/>
      <c r="G6" s="46"/>
      <c r="H6" s="46"/>
      <c r="I6" s="46"/>
      <c r="J6" s="46"/>
      <c r="K6" s="46"/>
    </row>
    <row r="7" spans="1:15" ht="14.25" customHeight="1" x14ac:dyDescent="0.3">
      <c r="A7" s="164" t="s">
        <v>1</v>
      </c>
      <c r="B7" s="165"/>
      <c r="C7" s="165"/>
      <c r="D7" s="165"/>
      <c r="E7" s="165"/>
      <c r="F7" s="165"/>
      <c r="G7" s="165"/>
      <c r="H7" s="165"/>
      <c r="I7" s="165"/>
      <c r="J7" s="165"/>
      <c r="K7" s="165"/>
      <c r="L7" s="165"/>
      <c r="M7" s="165"/>
      <c r="N7" s="165"/>
      <c r="O7" s="165"/>
    </row>
    <row r="8" spans="1:15" s="40" customFormat="1" ht="14.25" customHeight="1" x14ac:dyDescent="0.3">
      <c r="A8" s="41"/>
      <c r="B8" s="44"/>
      <c r="C8" s="38"/>
      <c r="D8" s="43"/>
      <c r="E8" s="38"/>
      <c r="F8" s="38"/>
      <c r="G8" s="38"/>
      <c r="H8" s="38"/>
      <c r="I8" s="38"/>
      <c r="J8" s="38"/>
      <c r="K8" s="38"/>
      <c r="L8" s="39"/>
      <c r="M8" s="39"/>
      <c r="N8" s="39"/>
      <c r="O8" s="39"/>
    </row>
    <row r="9" spans="1:15" s="54" customFormat="1" ht="14.25" customHeight="1" x14ac:dyDescent="0.3">
      <c r="A9" s="49" t="s">
        <v>11</v>
      </c>
      <c r="B9" s="50" t="s">
        <v>12</v>
      </c>
      <c r="C9" s="49" t="s">
        <v>13</v>
      </c>
      <c r="D9" s="51" t="s">
        <v>14</v>
      </c>
      <c r="E9" s="52"/>
      <c r="F9" s="52"/>
      <c r="G9" s="52"/>
      <c r="H9" s="52"/>
      <c r="I9" s="52"/>
      <c r="J9" s="52"/>
      <c r="K9" s="52"/>
      <c r="L9" s="53"/>
      <c r="M9" s="53"/>
      <c r="N9" s="53"/>
      <c r="O9" s="53"/>
    </row>
    <row r="10" spans="1:15" s="40" customFormat="1" ht="14.25" customHeight="1" x14ac:dyDescent="0.3">
      <c r="A10" s="41" t="s">
        <v>15</v>
      </c>
      <c r="B10" s="42">
        <v>135</v>
      </c>
      <c r="C10" s="38" t="s">
        <v>16</v>
      </c>
      <c r="D10" s="43"/>
      <c r="E10" s="38"/>
      <c r="F10" s="38"/>
      <c r="G10" s="38"/>
      <c r="H10" s="38"/>
      <c r="I10" s="38"/>
      <c r="J10" s="38"/>
      <c r="K10" s="38"/>
      <c r="L10" s="39"/>
      <c r="M10" s="39"/>
      <c r="N10" s="39"/>
      <c r="O10" s="39"/>
    </row>
    <row r="11" spans="1:15" s="40" customFormat="1" ht="14.25" customHeight="1" x14ac:dyDescent="0.3">
      <c r="A11" s="41" t="s">
        <v>17</v>
      </c>
      <c r="B11" s="42">
        <v>135</v>
      </c>
      <c r="C11" s="38" t="s">
        <v>16</v>
      </c>
      <c r="D11" s="43"/>
      <c r="E11" s="38"/>
      <c r="F11" s="38"/>
      <c r="G11" s="38"/>
      <c r="H11" s="38"/>
      <c r="I11" s="38"/>
      <c r="J11" s="38"/>
      <c r="K11" s="38"/>
      <c r="L11" s="39"/>
      <c r="M11" s="39"/>
      <c r="N11" s="39"/>
      <c r="O11" s="39"/>
    </row>
    <row r="12" spans="1:15" s="40" customFormat="1" ht="14.25" customHeight="1" x14ac:dyDescent="0.3">
      <c r="A12" s="41" t="s">
        <v>18</v>
      </c>
      <c r="B12" s="42">
        <v>56.22</v>
      </c>
      <c r="C12" s="38" t="s">
        <v>19</v>
      </c>
      <c r="D12" s="43" t="s">
        <v>20</v>
      </c>
      <c r="E12" s="38"/>
      <c r="F12" s="38"/>
      <c r="G12" s="38"/>
      <c r="H12" s="38"/>
      <c r="I12" s="38"/>
      <c r="J12" s="38"/>
      <c r="K12" s="38"/>
      <c r="L12" s="39"/>
      <c r="M12" s="39"/>
      <c r="N12" s="39"/>
      <c r="O12" s="39"/>
    </row>
    <row r="13" spans="1:15" s="40" customFormat="1" ht="14.25" customHeight="1" x14ac:dyDescent="0.3">
      <c r="A13" s="41" t="s">
        <v>18</v>
      </c>
      <c r="B13" s="44">
        <f>B12*0.0036</f>
        <v>0.20239199999999999</v>
      </c>
      <c r="C13" s="38" t="s">
        <v>21</v>
      </c>
      <c r="D13" s="43" t="s">
        <v>22</v>
      </c>
      <c r="E13" s="38"/>
      <c r="F13" s="38"/>
      <c r="G13" s="38"/>
      <c r="H13" s="38"/>
      <c r="I13" s="38"/>
      <c r="J13" s="38"/>
      <c r="K13" s="38"/>
      <c r="L13" s="39"/>
      <c r="M13" s="39"/>
      <c r="N13" s="39"/>
      <c r="O13" s="39"/>
    </row>
    <row r="14" spans="1:15" s="40" customFormat="1" ht="14.25" customHeight="1" x14ac:dyDescent="0.3">
      <c r="A14" s="41" t="s">
        <v>23</v>
      </c>
      <c r="B14" s="45">
        <v>0.9</v>
      </c>
      <c r="C14" s="38"/>
      <c r="D14" s="43" t="s">
        <v>24</v>
      </c>
      <c r="E14" s="38"/>
      <c r="F14" s="38"/>
      <c r="G14" s="38"/>
      <c r="H14" s="38"/>
      <c r="I14" s="38"/>
      <c r="J14" s="38"/>
      <c r="K14" s="38"/>
      <c r="L14" s="39"/>
      <c r="M14" s="39"/>
      <c r="N14" s="39"/>
      <c r="O14" s="39"/>
    </row>
    <row r="15" spans="1:15" s="40" customFormat="1" ht="14.25" customHeight="1" x14ac:dyDescent="0.3">
      <c r="A15" s="41" t="s">
        <v>25</v>
      </c>
      <c r="B15" s="44">
        <f>B13/B14</f>
        <v>0.22487999999999997</v>
      </c>
      <c r="C15" s="38" t="s">
        <v>26</v>
      </c>
      <c r="D15" s="43" t="s">
        <v>27</v>
      </c>
      <c r="E15" s="38"/>
      <c r="F15" s="38"/>
      <c r="G15" s="38"/>
      <c r="H15" s="38"/>
      <c r="I15" s="38"/>
      <c r="J15" s="38"/>
      <c r="K15" s="38"/>
      <c r="L15" s="39"/>
      <c r="M15" s="39"/>
      <c r="N15" s="39"/>
      <c r="O15" s="39"/>
    </row>
    <row r="16" spans="1:15" s="40" customFormat="1" ht="14.25" customHeight="1" x14ac:dyDescent="0.3">
      <c r="A16" s="41"/>
      <c r="B16" s="44"/>
      <c r="C16" s="38"/>
      <c r="D16" s="43"/>
      <c r="E16" s="38"/>
      <c r="F16" s="38"/>
      <c r="G16" s="38"/>
      <c r="H16" s="38"/>
      <c r="I16" s="38"/>
      <c r="J16" s="38"/>
      <c r="K16" s="38"/>
      <c r="L16" s="39"/>
      <c r="M16" s="39"/>
      <c r="N16" s="39"/>
      <c r="O16" s="39"/>
    </row>
    <row r="17" spans="1:18" s="40" customFormat="1" ht="14.25" customHeight="1" x14ac:dyDescent="0.3">
      <c r="A17" s="41"/>
      <c r="B17" s="44"/>
      <c r="C17" s="38"/>
      <c r="D17" s="43"/>
      <c r="E17" s="38"/>
      <c r="F17" s="38"/>
      <c r="G17" s="38"/>
      <c r="H17" s="38"/>
      <c r="I17" s="38"/>
      <c r="J17" s="38"/>
      <c r="K17" s="38"/>
      <c r="L17" s="39"/>
      <c r="M17" s="39"/>
      <c r="N17" s="39"/>
      <c r="O17" s="39"/>
    </row>
    <row r="18" spans="1:18" s="19" customFormat="1" ht="14.25" customHeight="1" x14ac:dyDescent="0.3">
      <c r="A18" s="18"/>
      <c r="B18" s="12"/>
      <c r="C18" s="18"/>
      <c r="D18" s="13"/>
      <c r="E18" s="18"/>
      <c r="F18" s="18"/>
      <c r="G18" s="18"/>
      <c r="H18" s="18"/>
      <c r="I18" s="18"/>
      <c r="J18" s="18"/>
      <c r="K18" s="18"/>
      <c r="L18" s="11"/>
      <c r="M18" s="11"/>
      <c r="N18" s="11"/>
      <c r="O18" s="11"/>
      <c r="P18" s="11"/>
      <c r="Q18" s="11"/>
      <c r="R18" s="11"/>
    </row>
    <row r="19" spans="1:18" s="48" customFormat="1" ht="14.25" customHeight="1" x14ac:dyDescent="0.3">
      <c r="A19" s="46" t="s">
        <v>28</v>
      </c>
      <c r="B19" s="47"/>
      <c r="C19" s="46"/>
      <c r="D19" s="46"/>
      <c r="E19" s="46"/>
      <c r="F19" s="46"/>
      <c r="G19" s="46"/>
      <c r="H19" s="46"/>
      <c r="I19" s="46"/>
      <c r="J19" s="46"/>
      <c r="K19" s="46"/>
    </row>
    <row r="20" spans="1:18" ht="14.25" customHeight="1" x14ac:dyDescent="0.3">
      <c r="A20" s="164" t="s">
        <v>1</v>
      </c>
      <c r="B20" s="165"/>
      <c r="C20" s="165"/>
      <c r="D20" s="165"/>
      <c r="E20" s="165"/>
      <c r="F20" s="165"/>
      <c r="G20" s="165"/>
      <c r="H20" s="165"/>
      <c r="I20" s="165"/>
      <c r="J20" s="165"/>
      <c r="K20" s="165"/>
      <c r="L20" s="165"/>
      <c r="M20" s="165"/>
      <c r="N20" s="165"/>
      <c r="O20" s="165"/>
    </row>
    <row r="21" spans="1:18" ht="5.0999999999999996" customHeight="1" x14ac:dyDescent="0.3">
      <c r="A21" s="25"/>
      <c r="B21" s="26"/>
      <c r="C21" s="26"/>
      <c r="D21" s="26"/>
      <c r="E21" s="26"/>
      <c r="F21" s="26"/>
      <c r="G21" s="26"/>
      <c r="H21" s="26"/>
      <c r="I21" s="26"/>
      <c r="J21" s="26"/>
      <c r="K21" s="26"/>
      <c r="L21" s="26"/>
      <c r="M21" s="26"/>
      <c r="N21" s="26"/>
      <c r="O21" s="26"/>
    </row>
    <row r="22" spans="1:18" s="59" customFormat="1" ht="14.25" customHeight="1" x14ac:dyDescent="0.3">
      <c r="A22" s="55" t="s">
        <v>11</v>
      </c>
      <c r="B22" s="56" t="s">
        <v>12</v>
      </c>
      <c r="C22" s="55" t="s">
        <v>13</v>
      </c>
      <c r="D22" s="55" t="s">
        <v>14</v>
      </c>
      <c r="E22" s="57"/>
      <c r="F22" s="57"/>
      <c r="G22" s="57"/>
      <c r="H22" s="57"/>
      <c r="I22" s="57"/>
      <c r="J22" s="57"/>
      <c r="K22" s="57"/>
      <c r="L22" s="58"/>
      <c r="M22" s="58"/>
      <c r="N22" s="58"/>
      <c r="O22" s="58"/>
      <c r="P22" s="58"/>
      <c r="Q22" s="58"/>
      <c r="R22" s="65"/>
    </row>
    <row r="23" spans="1:18" s="19" customFormat="1" ht="14.25" customHeight="1" x14ac:dyDescent="0.3">
      <c r="A23" s="29" t="s">
        <v>29</v>
      </c>
      <c r="B23" s="30">
        <v>10</v>
      </c>
      <c r="C23" s="29" t="s">
        <v>30</v>
      </c>
      <c r="D23" s="43"/>
      <c r="E23" s="43"/>
      <c r="F23" s="43"/>
      <c r="G23" s="43"/>
      <c r="H23" s="43"/>
      <c r="I23" s="43"/>
      <c r="J23" s="43"/>
      <c r="K23" s="43"/>
      <c r="L23" s="43"/>
      <c r="M23" s="43"/>
      <c r="N23" s="43"/>
      <c r="O23" s="43"/>
      <c r="P23" s="43"/>
      <c r="Q23" s="43"/>
      <c r="R23" s="36"/>
    </row>
    <row r="24" spans="1:18" s="19" customFormat="1" ht="14.25" customHeight="1" x14ac:dyDescent="0.3">
      <c r="A24" s="29" t="s">
        <v>31</v>
      </c>
      <c r="B24" s="70">
        <v>0.02</v>
      </c>
      <c r="C24" s="32"/>
      <c r="D24" s="43" t="s">
        <v>32</v>
      </c>
      <c r="E24" s="43"/>
      <c r="F24" s="43"/>
      <c r="G24" s="43"/>
      <c r="H24" s="43"/>
      <c r="I24" s="43"/>
      <c r="J24" s="43"/>
      <c r="K24" s="43"/>
      <c r="L24" s="43"/>
      <c r="M24" s="43"/>
      <c r="N24" s="43"/>
      <c r="O24" s="43"/>
      <c r="P24" s="43"/>
      <c r="Q24" s="43"/>
      <c r="R24" s="36"/>
    </row>
    <row r="25" spans="1:18" s="19" customFormat="1" ht="14.25" customHeight="1" x14ac:dyDescent="0.3">
      <c r="A25" s="29" t="s">
        <v>33</v>
      </c>
      <c r="B25" s="31">
        <v>5.7500000000000002E-2</v>
      </c>
      <c r="C25" s="32"/>
      <c r="D25" s="43" t="s">
        <v>34</v>
      </c>
      <c r="E25" s="43"/>
      <c r="F25" s="43"/>
      <c r="G25" s="43"/>
      <c r="H25" s="43"/>
      <c r="I25" s="43"/>
      <c r="J25" s="43"/>
      <c r="K25" s="43"/>
      <c r="L25" s="43"/>
      <c r="M25" s="43"/>
      <c r="N25" s="43"/>
      <c r="O25" s="43"/>
      <c r="P25" s="43"/>
      <c r="Q25" s="43"/>
      <c r="R25" s="36"/>
    </row>
    <row r="26" spans="1:18" s="19" customFormat="1" ht="14.25" customHeight="1" x14ac:dyDescent="0.3">
      <c r="A26" s="29" t="s">
        <v>35</v>
      </c>
      <c r="B26" s="70">
        <v>0.12</v>
      </c>
      <c r="C26" s="32"/>
      <c r="D26" s="43" t="s">
        <v>36</v>
      </c>
      <c r="E26" s="43"/>
      <c r="F26" s="43"/>
      <c r="G26" s="43"/>
      <c r="H26" s="43"/>
      <c r="I26" s="43"/>
      <c r="J26" s="43"/>
      <c r="K26" s="43"/>
      <c r="L26" s="43"/>
      <c r="M26" s="43"/>
      <c r="N26" s="43"/>
      <c r="O26" s="43"/>
      <c r="P26" s="43"/>
      <c r="Q26" s="43"/>
      <c r="R26" s="36"/>
    </row>
    <row r="27" spans="1:18" s="19" customFormat="1" ht="14.25" customHeight="1" x14ac:dyDescent="0.3">
      <c r="A27" s="29" t="s">
        <v>37</v>
      </c>
      <c r="B27" s="70">
        <f>1-B28</f>
        <v>0.58200000000000007</v>
      </c>
      <c r="C27" s="28"/>
      <c r="D27" s="43" t="s">
        <v>38</v>
      </c>
      <c r="E27" s="43"/>
      <c r="F27" s="43"/>
      <c r="G27" s="43"/>
      <c r="H27" s="43"/>
      <c r="I27" s="43"/>
      <c r="J27" s="43"/>
      <c r="K27" s="43"/>
      <c r="L27" s="43"/>
      <c r="M27" s="43"/>
      <c r="N27" s="43"/>
      <c r="O27" s="43"/>
      <c r="P27" s="43"/>
      <c r="Q27" s="43"/>
      <c r="R27" s="36"/>
    </row>
    <row r="28" spans="1:18" s="19" customFormat="1" ht="14.25" customHeight="1" x14ac:dyDescent="0.3">
      <c r="A28" s="29" t="s">
        <v>39</v>
      </c>
      <c r="B28" s="70">
        <v>0.41799999999999998</v>
      </c>
      <c r="C28" s="28"/>
      <c r="D28" s="43" t="s">
        <v>40</v>
      </c>
      <c r="E28" s="43"/>
      <c r="F28" s="43"/>
      <c r="G28" s="43"/>
      <c r="H28" s="43"/>
      <c r="I28" s="43"/>
      <c r="J28" s="43"/>
      <c r="K28" s="43"/>
      <c r="L28" s="43"/>
      <c r="M28" s="43"/>
      <c r="N28" s="43"/>
      <c r="O28" s="43"/>
      <c r="P28" s="43"/>
      <c r="Q28" s="43"/>
      <c r="R28" s="36"/>
    </row>
    <row r="29" spans="1:18" s="19" customFormat="1" ht="14.25" customHeight="1" x14ac:dyDescent="0.3">
      <c r="A29" s="29" t="s">
        <v>41</v>
      </c>
      <c r="B29" s="70">
        <v>0.25</v>
      </c>
      <c r="C29" s="27"/>
      <c r="D29" s="43"/>
      <c r="E29" s="43"/>
      <c r="F29" s="43"/>
      <c r="G29" s="43"/>
      <c r="H29" s="43"/>
      <c r="I29" s="43"/>
      <c r="J29" s="43"/>
      <c r="K29" s="43"/>
      <c r="L29" s="43"/>
      <c r="M29" s="43"/>
      <c r="N29" s="43"/>
      <c r="O29" s="43"/>
      <c r="P29" s="43"/>
      <c r="Q29" s="43"/>
      <c r="R29" s="36"/>
    </row>
    <row r="30" spans="1:18" s="19" customFormat="1" ht="15.6" x14ac:dyDescent="0.3">
      <c r="A30" s="29" t="s">
        <v>42</v>
      </c>
      <c r="B30" s="33">
        <f>(B28*B26)+((B27*B25)*(1-B29))</f>
        <v>7.5258749999999999E-2</v>
      </c>
      <c r="C30" s="28"/>
      <c r="D30" s="43" t="s">
        <v>43</v>
      </c>
      <c r="E30" s="43"/>
      <c r="F30" s="43"/>
      <c r="G30" s="43"/>
      <c r="H30" s="43"/>
      <c r="I30" s="43"/>
      <c r="J30" s="43"/>
      <c r="K30" s="43"/>
      <c r="L30" s="43"/>
      <c r="M30" s="43"/>
      <c r="N30" s="43"/>
      <c r="O30" s="43"/>
      <c r="P30" s="43"/>
      <c r="Q30" s="43"/>
      <c r="R30" s="36"/>
    </row>
    <row r="31" spans="1:18" s="19" customFormat="1" ht="15.6" x14ac:dyDescent="0.3">
      <c r="A31" s="29"/>
      <c r="B31" s="33"/>
      <c r="C31" s="28"/>
      <c r="D31" s="43" t="s">
        <v>44</v>
      </c>
      <c r="E31" s="43"/>
      <c r="F31" s="43"/>
      <c r="G31" s="43"/>
      <c r="H31" s="43"/>
      <c r="I31" s="43"/>
      <c r="J31" s="43"/>
      <c r="K31" s="43"/>
      <c r="L31" s="43"/>
      <c r="M31" s="43"/>
      <c r="N31" s="43"/>
      <c r="O31" s="43"/>
      <c r="P31" s="43"/>
      <c r="Q31" s="43"/>
      <c r="R31" s="36"/>
    </row>
    <row r="32" spans="1:18" s="19" customFormat="1" ht="15.6" x14ac:dyDescent="0.3">
      <c r="A32" s="29"/>
      <c r="B32" s="33"/>
      <c r="C32" s="28"/>
      <c r="D32" s="43" t="s">
        <v>45</v>
      </c>
      <c r="E32" s="43"/>
      <c r="F32" s="43"/>
      <c r="G32" s="43"/>
      <c r="H32" s="43"/>
      <c r="I32" s="43"/>
      <c r="J32" s="43"/>
      <c r="K32" s="43"/>
      <c r="L32" s="43"/>
      <c r="M32" s="43"/>
      <c r="N32" s="43"/>
      <c r="O32" s="43"/>
      <c r="P32" s="43"/>
      <c r="Q32" s="43"/>
      <c r="R32" s="36"/>
    </row>
    <row r="33" spans="1:18" s="19" customFormat="1" ht="15.6" x14ac:dyDescent="0.3">
      <c r="A33" s="29"/>
      <c r="B33" s="33"/>
      <c r="C33" s="28"/>
      <c r="D33" s="43" t="s">
        <v>46</v>
      </c>
      <c r="E33" s="43"/>
      <c r="F33" s="43"/>
      <c r="G33" s="43"/>
      <c r="H33" s="43"/>
      <c r="I33" s="43"/>
      <c r="J33" s="43"/>
      <c r="K33" s="43"/>
      <c r="L33" s="43"/>
      <c r="M33" s="43"/>
      <c r="N33" s="43"/>
      <c r="O33" s="43"/>
      <c r="P33" s="43"/>
      <c r="Q33" s="43"/>
      <c r="R33" s="36"/>
    </row>
    <row r="34" spans="1:18" s="19" customFormat="1" ht="15.6" x14ac:dyDescent="0.3">
      <c r="A34" s="29"/>
      <c r="B34" s="33"/>
      <c r="C34" s="28"/>
      <c r="D34" s="43" t="s">
        <v>47</v>
      </c>
      <c r="E34" s="43"/>
      <c r="F34" s="43"/>
      <c r="G34" s="43"/>
      <c r="H34" s="43"/>
      <c r="I34" s="43"/>
      <c r="J34" s="43"/>
      <c r="K34" s="43"/>
      <c r="L34" s="43"/>
      <c r="M34" s="43"/>
      <c r="N34" s="43"/>
      <c r="O34" s="43"/>
      <c r="P34" s="43"/>
      <c r="Q34" s="43"/>
      <c r="R34" s="36"/>
    </row>
    <row r="35" spans="1:18" s="19" customFormat="1" ht="15.6" x14ac:dyDescent="0.3">
      <c r="A35" s="29"/>
      <c r="B35" s="33"/>
      <c r="C35" s="28"/>
      <c r="D35" s="43"/>
      <c r="E35" s="43"/>
      <c r="F35" s="43"/>
      <c r="G35" s="43"/>
      <c r="H35" s="43"/>
      <c r="I35" s="43"/>
      <c r="J35" s="43"/>
      <c r="K35" s="43"/>
      <c r="L35" s="43"/>
      <c r="M35" s="43"/>
      <c r="N35" s="43"/>
      <c r="O35" s="43"/>
      <c r="P35" s="43"/>
      <c r="Q35" s="43"/>
      <c r="R35" s="36"/>
    </row>
    <row r="36" spans="1:18" s="19" customFormat="1" ht="14.25" customHeight="1" x14ac:dyDescent="0.3">
      <c r="A36" s="18"/>
      <c r="B36" s="12"/>
      <c r="C36" s="18"/>
      <c r="D36" s="34"/>
      <c r="E36" s="35"/>
      <c r="F36" s="35"/>
      <c r="G36" s="35"/>
      <c r="H36" s="35"/>
      <c r="I36" s="35"/>
      <c r="J36" s="35"/>
      <c r="K36" s="35"/>
      <c r="L36" s="36"/>
      <c r="M36" s="36"/>
      <c r="N36" s="36"/>
      <c r="O36" s="36"/>
      <c r="P36" s="36"/>
      <c r="Q36" s="36"/>
      <c r="R36" s="36"/>
    </row>
    <row r="37" spans="1:18" s="48" customFormat="1" ht="14.25" customHeight="1" x14ac:dyDescent="0.3">
      <c r="A37" s="46" t="s">
        <v>48</v>
      </c>
      <c r="B37" s="47"/>
      <c r="C37" s="46"/>
      <c r="D37" s="46"/>
      <c r="E37" s="46"/>
      <c r="F37" s="46"/>
      <c r="G37" s="46"/>
      <c r="H37" s="46"/>
      <c r="I37" s="46"/>
      <c r="J37" s="46"/>
      <c r="K37" s="46"/>
    </row>
    <row r="38" spans="1:18" ht="14.25" customHeight="1" x14ac:dyDescent="0.3">
      <c r="A38" s="164" t="s">
        <v>1</v>
      </c>
      <c r="B38" s="165"/>
      <c r="C38" s="165"/>
      <c r="D38" s="165"/>
      <c r="E38" s="165"/>
      <c r="F38" s="165"/>
      <c r="G38" s="165"/>
      <c r="H38" s="165"/>
      <c r="I38" s="165"/>
      <c r="J38" s="165"/>
      <c r="K38" s="165"/>
      <c r="L38" s="165"/>
      <c r="M38" s="165"/>
      <c r="N38" s="165"/>
      <c r="O38" s="165"/>
    </row>
    <row r="39" spans="1:18" ht="5.0999999999999996" customHeight="1" x14ac:dyDescent="0.3">
      <c r="A39" s="25"/>
      <c r="B39" s="26"/>
      <c r="C39" s="26"/>
      <c r="D39" s="26"/>
      <c r="E39" s="26"/>
      <c r="F39" s="26"/>
      <c r="G39" s="26"/>
      <c r="H39" s="26"/>
      <c r="I39" s="26"/>
      <c r="J39" s="26"/>
      <c r="K39" s="26"/>
      <c r="L39" s="26"/>
      <c r="M39" s="26"/>
      <c r="N39" s="26"/>
      <c r="O39" s="26"/>
    </row>
    <row r="40" spans="1:18" s="59" customFormat="1" ht="14.25" customHeight="1" x14ac:dyDescent="0.3">
      <c r="A40" s="55" t="s">
        <v>11</v>
      </c>
      <c r="B40" s="56" t="s">
        <v>12</v>
      </c>
      <c r="C40" s="55" t="s">
        <v>13</v>
      </c>
      <c r="D40" s="55" t="s">
        <v>14</v>
      </c>
      <c r="E40" s="57"/>
      <c r="F40" s="57"/>
      <c r="G40" s="57"/>
      <c r="H40" s="57"/>
      <c r="I40" s="57"/>
      <c r="J40" s="57"/>
      <c r="K40" s="57"/>
      <c r="L40" s="58"/>
      <c r="M40" s="58"/>
      <c r="N40" s="58"/>
      <c r="O40" s="58"/>
      <c r="P40" s="58"/>
      <c r="Q40" s="58"/>
    </row>
    <row r="41" spans="1:18" s="40" customFormat="1" ht="14.25" customHeight="1" x14ac:dyDescent="0.3">
      <c r="A41" s="41" t="s">
        <v>49</v>
      </c>
      <c r="B41" s="60">
        <f>0.0313+(0.001024*1.0949721)</f>
        <v>3.2421251430399999E-2</v>
      </c>
      <c r="C41" s="159" t="s">
        <v>50</v>
      </c>
      <c r="D41" s="43" t="s">
        <v>51</v>
      </c>
      <c r="E41" s="43"/>
      <c r="F41" s="43"/>
      <c r="G41" s="43"/>
      <c r="H41" s="43"/>
      <c r="I41" s="43"/>
      <c r="J41" s="43"/>
      <c r="K41" s="43"/>
      <c r="L41" s="43"/>
      <c r="M41" s="43"/>
      <c r="N41" s="43"/>
      <c r="O41" s="43"/>
      <c r="P41" s="43"/>
      <c r="Q41" s="43"/>
      <c r="R41" s="43"/>
    </row>
    <row r="42" spans="1:18" s="40" customFormat="1" ht="14.25" customHeight="1" x14ac:dyDescent="0.3">
      <c r="A42" s="41" t="s">
        <v>52</v>
      </c>
      <c r="B42" s="61">
        <f>B41*35.17/31.65</f>
        <v>3.6027027260889986E-2</v>
      </c>
      <c r="C42" s="38" t="s">
        <v>53</v>
      </c>
      <c r="D42" s="43"/>
      <c r="E42" s="43"/>
      <c r="F42" s="43"/>
      <c r="G42" s="43"/>
      <c r="H42" s="43"/>
      <c r="I42" s="43"/>
      <c r="J42" s="43"/>
      <c r="K42" s="43"/>
      <c r="L42" s="43"/>
      <c r="M42" s="43"/>
      <c r="N42" s="43"/>
      <c r="O42" s="43"/>
      <c r="P42" s="43"/>
      <c r="Q42" s="43"/>
      <c r="R42" s="43"/>
    </row>
    <row r="43" spans="1:18" s="40" customFormat="1" ht="14.25" customHeight="1" x14ac:dyDescent="0.3">
      <c r="A43" s="41" t="s">
        <v>54</v>
      </c>
      <c r="B43" s="60">
        <v>9.7600000000000006E-2</v>
      </c>
      <c r="C43" s="40" t="s">
        <v>55</v>
      </c>
      <c r="D43" s="43" t="s">
        <v>56</v>
      </c>
      <c r="E43" s="43"/>
      <c r="F43" s="43"/>
      <c r="G43" s="43"/>
      <c r="H43" s="43"/>
      <c r="I43" s="43"/>
      <c r="J43" s="43"/>
      <c r="K43" s="43"/>
      <c r="L43" s="43"/>
      <c r="M43" s="43"/>
      <c r="N43" s="43"/>
      <c r="O43" s="43"/>
      <c r="P43" s="43"/>
      <c r="Q43" s="43"/>
      <c r="R43" s="43"/>
    </row>
    <row r="44" spans="1:18" s="40" customFormat="1" ht="14.25" customHeight="1" x14ac:dyDescent="0.3">
      <c r="A44" s="40" t="s">
        <v>57</v>
      </c>
      <c r="B44" s="78">
        <v>141.5</v>
      </c>
      <c r="C44" s="40" t="s">
        <v>58</v>
      </c>
      <c r="D44" s="43" t="s">
        <v>59</v>
      </c>
      <c r="E44" s="43"/>
      <c r="F44" s="43"/>
      <c r="G44" s="43"/>
      <c r="H44" s="43"/>
      <c r="I44" s="43"/>
      <c r="J44" s="43"/>
      <c r="K44" s="43"/>
      <c r="L44" s="43"/>
      <c r="M44" s="43"/>
      <c r="N44" s="43"/>
      <c r="O44" s="43"/>
      <c r="P44" s="43"/>
      <c r="Q44" s="43"/>
      <c r="R44" s="43"/>
    </row>
    <row r="45" spans="1:18" s="40" customFormat="1" ht="14.25" customHeight="1" x14ac:dyDescent="0.3">
      <c r="A45" s="40" t="s">
        <v>60</v>
      </c>
      <c r="B45" s="78">
        <v>59.7</v>
      </c>
      <c r="C45" s="40" t="s">
        <v>58</v>
      </c>
      <c r="D45" s="43" t="s">
        <v>61</v>
      </c>
      <c r="E45" s="43"/>
      <c r="F45" s="43"/>
      <c r="G45" s="43"/>
      <c r="H45" s="43"/>
      <c r="I45" s="43"/>
      <c r="J45" s="43"/>
      <c r="K45" s="43"/>
      <c r="L45" s="43"/>
      <c r="M45" s="43"/>
      <c r="N45" s="43"/>
      <c r="O45" s="43"/>
      <c r="P45" s="43"/>
      <c r="Q45" s="43"/>
      <c r="R45" s="43"/>
    </row>
    <row r="46" spans="1:18" s="19" customFormat="1" ht="14.25" customHeight="1" x14ac:dyDescent="0.3">
      <c r="A46" s="11"/>
      <c r="B46" s="11"/>
      <c r="C46" s="11"/>
      <c r="D46" s="11"/>
      <c r="E46" s="11"/>
      <c r="F46" s="11"/>
      <c r="G46" s="11"/>
      <c r="H46" s="11"/>
      <c r="I46" s="11"/>
      <c r="J46" s="11"/>
      <c r="K46" s="11"/>
      <c r="L46" s="11"/>
      <c r="M46" s="11"/>
      <c r="N46" s="11"/>
      <c r="O46" s="11"/>
      <c r="P46" s="11"/>
      <c r="Q46" s="11"/>
      <c r="R46" s="11"/>
    </row>
  </sheetData>
  <sheetProtection algorithmName="SHA-512" hashValue="ru9+0CqeNaRnBcKhzVxaRIc+17Y4CyMBrIx1f++SNeL2oUvlR6WbmGh/LM90PvoVgwis2Gm1SR3WKjtfrmY6eQ==" saltValue="l77rn3m3kw1w6y4TbPXpdQ==" spinCount="100000" sheet="1" objects="1" scenarios="1"/>
  <mergeCells count="3">
    <mergeCell ref="A20:O20"/>
    <mergeCell ref="A7:O7"/>
    <mergeCell ref="A38:O3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D1E07-4B48-46B7-9536-FDC3EAD5DA49}">
  <sheetPr>
    <tabColor rgb="FF009B48"/>
  </sheetPr>
  <dimension ref="A1:W20"/>
  <sheetViews>
    <sheetView showGridLines="0" zoomScaleNormal="100" workbookViewId="0">
      <selection activeCell="F27" sqref="F27"/>
    </sheetView>
  </sheetViews>
  <sheetFormatPr defaultColWidth="8.88671875" defaultRowHeight="14.25" customHeight="1" x14ac:dyDescent="0.2"/>
  <cols>
    <col min="1" max="1" width="25.6640625" style="1" customWidth="1"/>
    <col min="2" max="2" width="4.5546875" style="18" customWidth="1"/>
    <col min="3" max="3" width="16.44140625" style="18" bestFit="1" customWidth="1"/>
    <col min="4" max="4" width="12.33203125" style="18" bestFit="1" customWidth="1"/>
    <col min="5" max="5" width="14.44140625" style="18" bestFit="1" customWidth="1"/>
    <col min="6" max="6" width="16.33203125" style="18" bestFit="1" customWidth="1"/>
    <col min="7" max="7" width="14.109375" style="18" bestFit="1" customWidth="1"/>
    <col min="8" max="8" width="14" style="18" bestFit="1" customWidth="1"/>
    <col min="9" max="9" width="14.33203125" style="18" bestFit="1" customWidth="1"/>
    <col min="10" max="10" width="16.44140625" style="18" bestFit="1" customWidth="1"/>
    <col min="11" max="13" width="14.6640625" style="18" bestFit="1" customWidth="1"/>
    <col min="14" max="14" width="14.109375" style="18" bestFit="1" customWidth="1"/>
    <col min="15" max="15" width="16.6640625" style="18" hidden="1" customWidth="1"/>
    <col min="16" max="16" width="25.6640625" style="1" hidden="1" customWidth="1"/>
    <col min="17" max="17" width="17.88671875" style="3" hidden="1" customWidth="1"/>
    <col min="18" max="23" width="16.6640625" style="3" hidden="1" customWidth="1"/>
    <col min="24" max="16384" width="8.88671875" style="1"/>
  </cols>
  <sheetData>
    <row r="1" spans="1:23" s="10" customFormat="1" ht="14.25" customHeight="1" x14ac:dyDescent="0.2">
      <c r="A1" s="64"/>
      <c r="B1" s="63"/>
      <c r="C1" s="63"/>
      <c r="D1" s="63"/>
      <c r="E1" s="63"/>
      <c r="F1" s="63"/>
      <c r="G1" s="63"/>
      <c r="H1" s="63"/>
      <c r="I1" s="63"/>
      <c r="J1" s="63"/>
      <c r="K1" s="63"/>
      <c r="L1" s="63"/>
      <c r="M1" s="63"/>
      <c r="N1" s="63"/>
      <c r="P1" s="64"/>
      <c r="Q1" s="63"/>
      <c r="R1" s="63"/>
      <c r="S1" s="63"/>
      <c r="T1" s="63"/>
      <c r="U1" s="63"/>
      <c r="V1" s="63"/>
      <c r="W1" s="63"/>
    </row>
    <row r="2" spans="1:23" s="16" customFormat="1" ht="28.2" customHeight="1" x14ac:dyDescent="0.3">
      <c r="A2" s="71" t="s">
        <v>62</v>
      </c>
      <c r="B2" s="63"/>
      <c r="C2" s="63"/>
      <c r="D2" s="63"/>
      <c r="E2" s="63"/>
      <c r="F2" s="63"/>
      <c r="G2" s="63"/>
      <c r="H2" s="63"/>
      <c r="I2" s="63"/>
      <c r="J2" s="63"/>
      <c r="K2" s="63"/>
      <c r="L2" s="63"/>
      <c r="M2" s="63"/>
      <c r="N2" s="63"/>
      <c r="P2" s="71" t="s">
        <v>62</v>
      </c>
      <c r="Q2" s="63"/>
      <c r="R2" s="63"/>
      <c r="S2" s="63"/>
      <c r="T2" s="63"/>
      <c r="U2" s="63"/>
      <c r="V2" s="63"/>
      <c r="W2" s="63"/>
    </row>
    <row r="3" spans="1:23" s="10" customFormat="1" ht="14.25" customHeight="1" x14ac:dyDescent="0.2">
      <c r="A3" s="64"/>
      <c r="B3" s="63"/>
      <c r="C3" s="63"/>
      <c r="D3" s="63"/>
      <c r="E3" s="63"/>
      <c r="F3" s="63"/>
      <c r="G3" s="63"/>
      <c r="H3" s="63"/>
      <c r="I3" s="63"/>
      <c r="J3" s="63"/>
      <c r="K3" s="63"/>
      <c r="L3" s="63"/>
      <c r="M3" s="63"/>
      <c r="N3" s="63"/>
      <c r="P3" s="64"/>
      <c r="Q3" s="63"/>
      <c r="R3" s="63"/>
      <c r="S3" s="63"/>
      <c r="T3" s="63"/>
      <c r="U3" s="63"/>
      <c r="V3" s="63"/>
      <c r="W3" s="63"/>
    </row>
    <row r="4" spans="1:23" ht="14.25" customHeight="1" x14ac:dyDescent="0.2">
      <c r="A4" s="6"/>
      <c r="O4" s="1"/>
      <c r="P4" s="6"/>
      <c r="Q4" s="41"/>
      <c r="R4" s="41"/>
      <c r="S4" s="41"/>
      <c r="T4" s="41"/>
      <c r="U4" s="41"/>
      <c r="V4" s="41"/>
      <c r="W4" s="41"/>
    </row>
    <row r="5" spans="1:23" ht="14.25" customHeight="1" x14ac:dyDescent="0.2">
      <c r="A5" s="6"/>
      <c r="O5" s="1"/>
      <c r="P5" s="6"/>
      <c r="Q5" s="41"/>
      <c r="R5" s="41"/>
      <c r="S5" s="41"/>
      <c r="T5" s="41"/>
      <c r="U5" s="41"/>
      <c r="V5" s="41"/>
      <c r="W5" s="41"/>
    </row>
    <row r="6" spans="1:23" s="67" customFormat="1" ht="64.8" x14ac:dyDescent="0.3">
      <c r="A6" s="66" t="s">
        <v>63</v>
      </c>
      <c r="B6" s="66" t="s">
        <v>64</v>
      </c>
      <c r="C6" s="66" t="s">
        <v>65</v>
      </c>
      <c r="D6" s="66" t="s">
        <v>66</v>
      </c>
      <c r="E6" s="66" t="s">
        <v>67</v>
      </c>
      <c r="F6" s="66" t="s">
        <v>68</v>
      </c>
      <c r="G6" s="66" t="s">
        <v>69</v>
      </c>
      <c r="H6" s="66" t="s">
        <v>70</v>
      </c>
      <c r="I6" s="66" t="s">
        <v>71</v>
      </c>
      <c r="J6" s="66" t="s">
        <v>72</v>
      </c>
      <c r="K6" s="66" t="s">
        <v>73</v>
      </c>
      <c r="L6" s="66" t="s">
        <v>74</v>
      </c>
      <c r="M6" s="66" t="s">
        <v>75</v>
      </c>
      <c r="N6" s="66" t="s">
        <v>76</v>
      </c>
      <c r="P6" s="66" t="s">
        <v>63</v>
      </c>
      <c r="Q6" s="66" t="s">
        <v>77</v>
      </c>
      <c r="R6" s="66" t="s">
        <v>78</v>
      </c>
      <c r="S6" s="66" t="s">
        <v>79</v>
      </c>
      <c r="T6" s="66" t="s">
        <v>80</v>
      </c>
      <c r="U6" s="66" t="s">
        <v>81</v>
      </c>
      <c r="V6" s="66" t="s">
        <v>82</v>
      </c>
      <c r="W6" s="66" t="s">
        <v>83</v>
      </c>
    </row>
    <row r="7" spans="1:23" s="69" customFormat="1" ht="18" x14ac:dyDescent="0.3">
      <c r="A7" s="68"/>
      <c r="B7" s="68"/>
      <c r="C7" s="68" t="s">
        <v>84</v>
      </c>
      <c r="D7" s="68"/>
      <c r="E7" s="68"/>
      <c r="F7" s="68" t="s">
        <v>85</v>
      </c>
      <c r="G7" s="68" t="s">
        <v>86</v>
      </c>
      <c r="H7" s="68" t="s">
        <v>87</v>
      </c>
      <c r="I7" s="68" t="s">
        <v>88</v>
      </c>
      <c r="J7" s="68"/>
      <c r="K7" s="68" t="s">
        <v>89</v>
      </c>
      <c r="L7" s="68" t="s">
        <v>89</v>
      </c>
      <c r="M7" s="68" t="s">
        <v>90</v>
      </c>
      <c r="N7" s="68" t="s">
        <v>30</v>
      </c>
      <c r="P7" s="68"/>
      <c r="Q7" s="40" t="s">
        <v>91</v>
      </c>
      <c r="R7" s="68" t="s">
        <v>92</v>
      </c>
      <c r="S7" s="68" t="s">
        <v>92</v>
      </c>
      <c r="T7" s="68" t="s">
        <v>92</v>
      </c>
      <c r="U7" s="40" t="s">
        <v>91</v>
      </c>
      <c r="V7" s="40" t="s">
        <v>91</v>
      </c>
      <c r="W7" s="40" t="s">
        <v>93</v>
      </c>
    </row>
    <row r="8" spans="1:23" s="95" customFormat="1" ht="5.0999999999999996" customHeight="1" x14ac:dyDescent="0.3">
      <c r="A8" s="105"/>
      <c r="B8" s="98"/>
      <c r="C8" s="98"/>
      <c r="D8" s="98"/>
      <c r="E8" s="98"/>
      <c r="F8" s="98"/>
      <c r="G8" s="98"/>
      <c r="H8" s="98"/>
      <c r="I8" s="98"/>
      <c r="J8" s="98"/>
      <c r="K8" s="98"/>
      <c r="L8" s="98"/>
      <c r="M8" s="98"/>
      <c r="N8" s="98"/>
      <c r="O8" s="98"/>
      <c r="P8" s="105"/>
      <c r="Q8" s="155"/>
      <c r="R8" s="156"/>
      <c r="S8" s="61"/>
      <c r="T8" s="61"/>
      <c r="U8" s="61"/>
      <c r="V8" s="61"/>
      <c r="W8" s="61"/>
    </row>
    <row r="9" spans="1:23" s="40" customFormat="1" ht="14.25" customHeight="1" x14ac:dyDescent="0.3">
      <c r="A9" s="40" t="s">
        <v>94</v>
      </c>
      <c r="B9" s="88">
        <v>1</v>
      </c>
      <c r="C9" s="62">
        <v>20000</v>
      </c>
      <c r="D9" s="99">
        <v>0.99</v>
      </c>
      <c r="E9" s="100">
        <v>1</v>
      </c>
      <c r="F9" s="62">
        <v>3300</v>
      </c>
      <c r="G9" s="42">
        <v>257</v>
      </c>
      <c r="H9" s="78">
        <v>3</v>
      </c>
      <c r="I9" s="42">
        <f>12*3.7846*1.0949721</f>
        <v>49.728376915919995</v>
      </c>
      <c r="J9" s="101">
        <v>0.9</v>
      </c>
      <c r="K9" s="102">
        <v>3.5000000000000003E-2</v>
      </c>
      <c r="L9" s="102">
        <f t="shared" ref="L9:L15" si="0">0.0070466*1.0949721</f>
        <v>7.7158303998599992E-3</v>
      </c>
      <c r="M9" s="85">
        <v>5.2999999999999999E-2</v>
      </c>
      <c r="N9" s="88">
        <v>10</v>
      </c>
      <c r="P9" s="40" t="s">
        <v>94</v>
      </c>
      <c r="Q9" s="81">
        <f>'e-boiler'!B97</f>
        <v>444.7177170237552</v>
      </c>
      <c r="R9" s="60">
        <f>'e-boiler'!B63</f>
        <v>4.7900366859918504E-2</v>
      </c>
      <c r="S9" s="60">
        <f>'e-boiler'!B64</f>
        <v>3.5636910859918505E-2</v>
      </c>
      <c r="T9" s="60">
        <f>'e-boiler'!B65</f>
        <v>2.6686686859918506E-2</v>
      </c>
      <c r="U9" s="42">
        <f>'e-boiler'!B100</f>
        <v>279.55566659505644</v>
      </c>
      <c r="V9" s="42">
        <f>'e-boiler'!B101</f>
        <v>207.98380104202133</v>
      </c>
      <c r="W9" s="42">
        <f>'e-boiler'!B102</f>
        <v>155.74858865184783</v>
      </c>
    </row>
    <row r="10" spans="1:23" s="40" customFormat="1" ht="14.25" customHeight="1" x14ac:dyDescent="0.3">
      <c r="A10" s="40" t="s">
        <v>95</v>
      </c>
      <c r="B10" s="88">
        <v>2</v>
      </c>
      <c r="C10" s="62">
        <v>800</v>
      </c>
      <c r="D10" s="103">
        <v>1</v>
      </c>
      <c r="E10" s="104">
        <v>3.5</v>
      </c>
      <c r="F10" s="62">
        <v>8000</v>
      </c>
      <c r="G10" s="42">
        <v>1152</v>
      </c>
      <c r="H10" s="78">
        <v>4</v>
      </c>
      <c r="I10" s="42">
        <f t="shared" ref="I10:I15" si="1">12*3.7846*1.0949721</f>
        <v>49.728376915919995</v>
      </c>
      <c r="J10" s="101">
        <v>1</v>
      </c>
      <c r="K10" s="102">
        <f>'Algemene parameters'!B43</f>
        <v>9.7600000000000006E-2</v>
      </c>
      <c r="L10" s="102">
        <f t="shared" si="0"/>
        <v>7.7158303998599992E-3</v>
      </c>
      <c r="M10" s="85">
        <v>0.15</v>
      </c>
      <c r="N10" s="88">
        <v>10</v>
      </c>
      <c r="P10" s="40" t="s">
        <v>95</v>
      </c>
      <c r="Q10" s="81">
        <f>'Warmtepomp 8,000u'!B97</f>
        <v>350.50543102907017</v>
      </c>
      <c r="R10" s="60">
        <f>R9</f>
        <v>4.7900366859918504E-2</v>
      </c>
      <c r="S10" s="60">
        <f>S9</f>
        <v>3.5636910859918505E-2</v>
      </c>
      <c r="T10" s="60">
        <f>T9</f>
        <v>2.6686686859918506E-2</v>
      </c>
      <c r="U10" s="42">
        <f>'Warmtepomp 8,000u'!B100</f>
        <v>263.1557795091901</v>
      </c>
      <c r="V10" s="42">
        <f>'Warmtepomp 8,000u'!B101</f>
        <v>195.78261444357821</v>
      </c>
      <c r="W10" s="42">
        <f>'Warmtepomp 8,000u'!B102</f>
        <v>146.61173480522822</v>
      </c>
    </row>
    <row r="11" spans="1:23" s="40" customFormat="1" ht="14.25" customHeight="1" x14ac:dyDescent="0.3">
      <c r="A11" s="40" t="s">
        <v>96</v>
      </c>
      <c r="B11" s="88">
        <v>3</v>
      </c>
      <c r="C11" s="62">
        <v>800</v>
      </c>
      <c r="D11" s="103">
        <v>1</v>
      </c>
      <c r="E11" s="104">
        <v>5</v>
      </c>
      <c r="F11" s="62">
        <v>5500</v>
      </c>
      <c r="G11" s="42">
        <v>1152</v>
      </c>
      <c r="H11" s="78">
        <v>4</v>
      </c>
      <c r="I11" s="42">
        <f t="shared" si="1"/>
        <v>49.728376915919995</v>
      </c>
      <c r="J11" s="101">
        <v>1</v>
      </c>
      <c r="K11" s="102">
        <f>K10</f>
        <v>9.7600000000000006E-2</v>
      </c>
      <c r="L11" s="102">
        <f t="shared" si="0"/>
        <v>7.7158303998599992E-3</v>
      </c>
      <c r="M11" s="85">
        <v>0.15</v>
      </c>
      <c r="N11" s="88">
        <v>10</v>
      </c>
      <c r="P11" s="40" t="s">
        <v>96</v>
      </c>
      <c r="Q11" s="81">
        <f>'Warmtempomp 5,500u'!B97</f>
        <v>346.3669950738917</v>
      </c>
      <c r="R11" s="60">
        <f t="shared" ref="R11:R15" si="2">R10</f>
        <v>4.7900366859918504E-2</v>
      </c>
      <c r="S11" s="60">
        <f t="shared" ref="S11:S15" si="3">S10</f>
        <v>3.5636910859918505E-2</v>
      </c>
      <c r="T11" s="60">
        <f t="shared" ref="T11:T15" si="4">T10</f>
        <v>2.6686686859918506E-2</v>
      </c>
      <c r="U11" s="42">
        <f>'Warmtempomp 5,500u'!B100</f>
        <v>245.79416492158515</v>
      </c>
      <c r="V11" s="42">
        <f>'Warmtempomp 5,500u'!B101</f>
        <v>182.86592190023867</v>
      </c>
      <c r="W11" s="42">
        <f>'Warmtempomp 5,500u'!B102</f>
        <v>136.93907460959826</v>
      </c>
    </row>
    <row r="12" spans="1:23" s="40" customFormat="1" ht="14.25" customHeight="1" x14ac:dyDescent="0.3">
      <c r="A12" s="40" t="s">
        <v>97</v>
      </c>
      <c r="B12" s="88">
        <v>4</v>
      </c>
      <c r="C12" s="62">
        <v>800</v>
      </c>
      <c r="D12" s="103">
        <v>1</v>
      </c>
      <c r="E12" s="104">
        <v>7.5</v>
      </c>
      <c r="F12" s="62">
        <v>3000</v>
      </c>
      <c r="G12" s="42">
        <v>1152</v>
      </c>
      <c r="H12" s="78">
        <v>4</v>
      </c>
      <c r="I12" s="42">
        <f t="shared" si="1"/>
        <v>49.728376915919995</v>
      </c>
      <c r="J12" s="101">
        <v>1</v>
      </c>
      <c r="K12" s="102">
        <f t="shared" ref="K12:K15" si="5">K11</f>
        <v>9.7600000000000006E-2</v>
      </c>
      <c r="L12" s="102">
        <f t="shared" si="0"/>
        <v>7.7158303998599992E-3</v>
      </c>
      <c r="M12" s="85">
        <v>0.15</v>
      </c>
      <c r="N12" s="88">
        <v>10</v>
      </c>
      <c r="P12" s="40" t="s">
        <v>97</v>
      </c>
      <c r="Q12" s="81">
        <f>'Warmtepomp 3,000u'!B97</f>
        <v>469.0550566185085</v>
      </c>
      <c r="R12" s="60">
        <f t="shared" si="2"/>
        <v>4.7900366859918504E-2</v>
      </c>
      <c r="S12" s="60">
        <f t="shared" si="3"/>
        <v>3.5636910859918505E-2</v>
      </c>
      <c r="T12" s="60">
        <f t="shared" si="4"/>
        <v>2.6686686859918506E-2</v>
      </c>
      <c r="U12" s="42">
        <f>'Warmtepomp 3,000u'!B100</f>
        <v>233.79718303357333</v>
      </c>
      <c r="V12" s="42">
        <f>'Warmtepomp 3,000u'!B101</f>
        <v>173.94040833618951</v>
      </c>
      <c r="W12" s="42">
        <f>'Warmtepomp 3,000u'!B102</f>
        <v>130.25520724286659</v>
      </c>
    </row>
    <row r="13" spans="1:23" s="40" customFormat="1" ht="14.25" customHeight="1" x14ac:dyDescent="0.3">
      <c r="A13" s="40" t="s">
        <v>98</v>
      </c>
      <c r="B13" s="88">
        <v>5</v>
      </c>
      <c r="C13" s="62">
        <v>1000</v>
      </c>
      <c r="D13" s="103">
        <v>1</v>
      </c>
      <c r="E13" s="104">
        <v>3.5</v>
      </c>
      <c r="F13" s="62">
        <v>8000</v>
      </c>
      <c r="G13" s="42">
        <v>1152</v>
      </c>
      <c r="H13" s="78">
        <v>4</v>
      </c>
      <c r="I13" s="42">
        <f t="shared" si="1"/>
        <v>49.728376915919995</v>
      </c>
      <c r="J13" s="101">
        <v>1</v>
      </c>
      <c r="K13" s="102">
        <f t="shared" si="5"/>
        <v>9.7600000000000006E-2</v>
      </c>
      <c r="L13" s="102">
        <f t="shared" si="0"/>
        <v>7.7158303998599992E-3</v>
      </c>
      <c r="M13" s="85">
        <v>0.15</v>
      </c>
      <c r="N13" s="88">
        <v>10</v>
      </c>
      <c r="P13" s="40" t="s">
        <v>98</v>
      </c>
      <c r="Q13" s="81">
        <f>'MVR 8,000u'!B97</f>
        <v>350.50543102907017</v>
      </c>
      <c r="R13" s="60">
        <f t="shared" si="2"/>
        <v>4.7900366859918504E-2</v>
      </c>
      <c r="S13" s="60">
        <f t="shared" si="3"/>
        <v>3.5636910859918505E-2</v>
      </c>
      <c r="T13" s="60">
        <f t="shared" si="4"/>
        <v>2.6686686859918506E-2</v>
      </c>
      <c r="U13" s="42">
        <f>'MVR 8,000u'!B100</f>
        <v>263.1557795091901</v>
      </c>
      <c r="V13" s="42">
        <f>'MVR 8,000u'!B101</f>
        <v>195.78261444357821</v>
      </c>
      <c r="W13" s="42">
        <f>'MVR 8,000u'!B102</f>
        <v>146.61173480522822</v>
      </c>
    </row>
    <row r="14" spans="1:23" s="40" customFormat="1" ht="14.25" customHeight="1" x14ac:dyDescent="0.3">
      <c r="A14" s="40" t="s">
        <v>99</v>
      </c>
      <c r="B14" s="88">
        <v>6</v>
      </c>
      <c r="C14" s="62">
        <v>1000</v>
      </c>
      <c r="D14" s="103">
        <v>1</v>
      </c>
      <c r="E14" s="104">
        <v>5</v>
      </c>
      <c r="F14" s="62">
        <v>5500</v>
      </c>
      <c r="G14" s="42">
        <v>1152</v>
      </c>
      <c r="H14" s="78">
        <v>4</v>
      </c>
      <c r="I14" s="42">
        <f t="shared" si="1"/>
        <v>49.728376915919995</v>
      </c>
      <c r="J14" s="101">
        <v>1</v>
      </c>
      <c r="K14" s="102">
        <f t="shared" si="5"/>
        <v>9.7600000000000006E-2</v>
      </c>
      <c r="L14" s="102">
        <f t="shared" si="0"/>
        <v>7.7158303998599992E-3</v>
      </c>
      <c r="M14" s="85">
        <v>0.15</v>
      </c>
      <c r="N14" s="88">
        <v>10</v>
      </c>
      <c r="P14" s="40" t="s">
        <v>99</v>
      </c>
      <c r="Q14" s="81">
        <f>'MVR 5,500u'!B97</f>
        <v>346.3669950738917</v>
      </c>
      <c r="R14" s="60">
        <f t="shared" si="2"/>
        <v>4.7900366859918504E-2</v>
      </c>
      <c r="S14" s="60">
        <f t="shared" si="3"/>
        <v>3.5636910859918505E-2</v>
      </c>
      <c r="T14" s="60">
        <f t="shared" si="4"/>
        <v>2.6686686859918506E-2</v>
      </c>
      <c r="U14" s="42">
        <f>'MVR 5,500u'!B100</f>
        <v>245.79416492158515</v>
      </c>
      <c r="V14" s="42">
        <f>'MVR 5,500u'!B101</f>
        <v>182.86592190023867</v>
      </c>
      <c r="W14" s="42">
        <f>'MVR 5,500u'!B102</f>
        <v>136.93907460959826</v>
      </c>
    </row>
    <row r="15" spans="1:23" s="40" customFormat="1" ht="14.25" customHeight="1" x14ac:dyDescent="0.3">
      <c r="A15" s="40" t="s">
        <v>100</v>
      </c>
      <c r="B15" s="88">
        <v>7</v>
      </c>
      <c r="C15" s="62">
        <v>1000</v>
      </c>
      <c r="D15" s="103">
        <v>1</v>
      </c>
      <c r="E15" s="104">
        <v>7.5</v>
      </c>
      <c r="F15" s="62">
        <v>3000</v>
      </c>
      <c r="G15" s="42">
        <v>1152</v>
      </c>
      <c r="H15" s="78">
        <v>4</v>
      </c>
      <c r="I15" s="42">
        <f t="shared" si="1"/>
        <v>49.728376915919995</v>
      </c>
      <c r="J15" s="101">
        <v>1</v>
      </c>
      <c r="K15" s="102">
        <f t="shared" si="5"/>
        <v>9.7600000000000006E-2</v>
      </c>
      <c r="L15" s="102">
        <f t="shared" si="0"/>
        <v>7.7158303998599992E-3</v>
      </c>
      <c r="M15" s="85">
        <v>0.15</v>
      </c>
      <c r="N15" s="88">
        <v>10</v>
      </c>
      <c r="P15" s="40" t="s">
        <v>100</v>
      </c>
      <c r="Q15" s="81">
        <f>'MVR 3,000u'!B97</f>
        <v>469.0550566185085</v>
      </c>
      <c r="R15" s="60">
        <f t="shared" si="2"/>
        <v>4.7900366859918504E-2</v>
      </c>
      <c r="S15" s="60">
        <f t="shared" si="3"/>
        <v>3.5636910859918505E-2</v>
      </c>
      <c r="T15" s="60">
        <f t="shared" si="4"/>
        <v>2.6686686859918506E-2</v>
      </c>
      <c r="U15" s="42">
        <f>'MVR 3,000u'!B100</f>
        <v>233.79718303357333</v>
      </c>
      <c r="V15" s="42">
        <f>'MVR 3,000u'!B101</f>
        <v>173.94040833618951</v>
      </c>
      <c r="W15" s="42">
        <f>'MVR 3,000u'!B102</f>
        <v>130.25520724286659</v>
      </c>
    </row>
    <row r="16" spans="1:23" s="95" customFormat="1" ht="14.25" customHeight="1" thickBot="1" x14ac:dyDescent="0.35">
      <c r="Q16" s="157"/>
      <c r="R16" s="157"/>
      <c r="S16" s="157"/>
      <c r="T16" s="157"/>
      <c r="U16" s="157"/>
      <c r="V16" s="157"/>
      <c r="W16" s="157"/>
    </row>
    <row r="17" spans="1:23" s="95" customFormat="1" ht="14.25" customHeight="1" x14ac:dyDescent="0.3">
      <c r="A17" s="166" t="s">
        <v>1</v>
      </c>
      <c r="B17" s="167"/>
      <c r="C17" s="167"/>
      <c r="D17" s="167"/>
      <c r="E17" s="167"/>
      <c r="F17" s="167"/>
      <c r="G17" s="167"/>
      <c r="H17" s="167"/>
      <c r="I17" s="167"/>
      <c r="J17" s="167"/>
      <c r="K17" s="167"/>
      <c r="L17" s="167"/>
      <c r="M17" s="167"/>
      <c r="N17" s="167"/>
      <c r="Q17" s="158"/>
      <c r="R17" s="158"/>
      <c r="S17" s="158"/>
      <c r="T17" s="158"/>
      <c r="U17" s="158"/>
      <c r="V17" s="158"/>
      <c r="W17" s="158"/>
    </row>
    <row r="18" spans="1:23" s="95" customFormat="1" ht="5.0999999999999996" customHeight="1" x14ac:dyDescent="0.3">
      <c r="A18" s="105"/>
      <c r="B18" s="98"/>
      <c r="C18" s="98"/>
      <c r="D18" s="98"/>
      <c r="E18" s="98"/>
      <c r="F18" s="98"/>
      <c r="G18" s="98"/>
      <c r="H18" s="98"/>
      <c r="I18" s="98"/>
      <c r="J18" s="98"/>
      <c r="K18" s="98"/>
      <c r="L18" s="98"/>
      <c r="M18" s="98"/>
      <c r="N18" s="98"/>
      <c r="O18" s="98"/>
      <c r="P18" s="105"/>
    </row>
    <row r="19" spans="1:23" s="106" customFormat="1" ht="14.25" customHeight="1" x14ac:dyDescent="0.3">
      <c r="A19" s="106" t="s">
        <v>101</v>
      </c>
      <c r="B19" s="107"/>
      <c r="C19" s="107"/>
      <c r="D19" s="107"/>
      <c r="E19" s="107"/>
      <c r="F19" s="107"/>
      <c r="G19" s="107"/>
      <c r="H19" s="107"/>
      <c r="I19" s="107"/>
      <c r="J19" s="107"/>
      <c r="K19" s="107"/>
      <c r="L19" s="107"/>
      <c r="M19" s="107"/>
      <c r="N19" s="107"/>
      <c r="O19" s="107"/>
      <c r="Q19" s="98"/>
      <c r="R19" s="98"/>
      <c r="S19" s="98"/>
      <c r="T19" s="98"/>
      <c r="U19" s="98"/>
      <c r="V19" s="98"/>
      <c r="W19" s="98"/>
    </row>
    <row r="20" spans="1:23" ht="14.25" customHeight="1" x14ac:dyDescent="0.2">
      <c r="Q20" s="107"/>
      <c r="R20" s="107"/>
      <c r="S20" s="107"/>
      <c r="T20" s="107"/>
      <c r="U20" s="107"/>
      <c r="V20" s="107"/>
      <c r="W20" s="107"/>
    </row>
  </sheetData>
  <sheetProtection algorithmName="SHA-512" hashValue="i9LPXfCMXpMeKqj/E+EmosVH56v4whWUWU4Z3RzcrOf8eghXmMI+jUT9OOEHMG/EMq4aSDxnYqt1IcVZflsXzg==" saltValue="MnLVP5ovOjzXyZWkitkYJQ==" spinCount="100000" sheet="1" objects="1" scenarios="1"/>
  <mergeCells count="1">
    <mergeCell ref="A17:N17"/>
  </mergeCells>
  <phoneticPr fontId="8" type="noConversion"/>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D38A-B885-4EFD-A6F5-3740B5904B4D}">
  <sheetPr>
    <tabColor rgb="FF009B48"/>
  </sheetPr>
  <dimension ref="A1:R143"/>
  <sheetViews>
    <sheetView showGridLines="0" topLeftCell="A73" zoomScaleNormal="100" workbookViewId="0">
      <selection activeCell="A7" sqref="A7"/>
    </sheetView>
  </sheetViews>
  <sheetFormatPr defaultColWidth="8.88671875" defaultRowHeight="11.4" x14ac:dyDescent="0.2"/>
  <cols>
    <col min="1" max="1" width="55.6640625" style="1" customWidth="1"/>
    <col min="2" max="2" width="18.33203125" style="3" customWidth="1"/>
    <col min="3" max="3" width="15" style="1" customWidth="1"/>
    <col min="4" max="13" width="11.6640625" style="1" customWidth="1"/>
    <col min="14" max="15" width="11.6640625" style="1" hidden="1" customWidth="1"/>
    <col min="16" max="16" width="11.33203125" style="1" hidden="1" customWidth="1"/>
    <col min="17" max="18" width="12" style="1" hidden="1" customWidth="1"/>
    <col min="19" max="16384" width="8.88671875" style="21"/>
  </cols>
  <sheetData>
    <row r="1" spans="1:18" s="10" customFormat="1" ht="14.25" customHeight="1" x14ac:dyDescent="0.2">
      <c r="A1" s="64"/>
      <c r="B1" s="63"/>
      <c r="C1" s="63"/>
      <c r="D1" s="63"/>
      <c r="E1" s="63"/>
      <c r="F1" s="63"/>
      <c r="G1" s="63"/>
      <c r="H1" s="63"/>
      <c r="I1" s="63"/>
      <c r="J1" s="63"/>
      <c r="K1" s="63"/>
      <c r="L1" s="63"/>
      <c r="M1" s="63"/>
      <c r="N1" s="63"/>
      <c r="O1" s="63"/>
      <c r="P1" s="63"/>
      <c r="Q1" s="63"/>
      <c r="R1" s="63"/>
    </row>
    <row r="2" spans="1:18" s="16" customFormat="1" ht="28.2" customHeight="1" x14ac:dyDescent="0.3">
      <c r="A2" s="71" t="s">
        <v>0</v>
      </c>
      <c r="B2" s="63"/>
      <c r="C2" s="63"/>
      <c r="D2" s="63"/>
      <c r="E2" s="63"/>
      <c r="F2" s="63"/>
      <c r="G2" s="63"/>
      <c r="H2" s="63"/>
      <c r="I2" s="63"/>
      <c r="J2" s="63"/>
      <c r="K2" s="63"/>
      <c r="L2" s="63"/>
      <c r="M2" s="63"/>
      <c r="N2" s="63"/>
      <c r="O2" s="63"/>
      <c r="P2" s="63"/>
      <c r="Q2" s="63"/>
      <c r="R2" s="63"/>
    </row>
    <row r="3" spans="1:18" s="10" customFormat="1" ht="14.25" customHeight="1" x14ac:dyDescent="0.2">
      <c r="A3" s="63"/>
      <c r="B3" s="63"/>
      <c r="C3" s="63"/>
      <c r="D3" s="63"/>
      <c r="E3" s="63"/>
      <c r="F3" s="63"/>
      <c r="G3" s="63"/>
      <c r="H3" s="63"/>
      <c r="I3" s="63"/>
      <c r="J3" s="63"/>
      <c r="K3" s="63"/>
      <c r="L3" s="63"/>
      <c r="M3" s="63"/>
      <c r="N3" s="63"/>
      <c r="O3" s="63"/>
      <c r="P3" s="63"/>
      <c r="Q3" s="63"/>
      <c r="R3" s="63"/>
    </row>
    <row r="4" spans="1:18" s="14" customFormat="1" ht="14.25" customHeight="1" x14ac:dyDescent="0.3">
      <c r="A4" s="11"/>
      <c r="B4" s="12"/>
      <c r="C4" s="11"/>
      <c r="D4" s="11"/>
      <c r="E4" s="11"/>
      <c r="F4" s="11"/>
      <c r="G4" s="11"/>
      <c r="H4" s="11"/>
      <c r="I4" s="11"/>
      <c r="J4" s="11"/>
      <c r="K4" s="11"/>
      <c r="L4" s="11"/>
      <c r="M4" s="11"/>
      <c r="N4" s="11"/>
      <c r="O4" s="11"/>
      <c r="P4" s="11"/>
      <c r="Q4" s="11"/>
      <c r="R4" s="11"/>
    </row>
    <row r="5" spans="1:18" s="20" customFormat="1" ht="28.8" x14ac:dyDescent="0.2">
      <c r="A5" s="113" t="s">
        <v>94</v>
      </c>
      <c r="B5" s="112"/>
      <c r="C5" s="112"/>
      <c r="D5" s="112"/>
      <c r="E5" s="112"/>
      <c r="F5" s="112"/>
      <c r="G5" s="112"/>
      <c r="H5" s="112"/>
      <c r="I5" s="112"/>
      <c r="J5" s="112"/>
      <c r="K5" s="112"/>
      <c r="L5" s="112"/>
      <c r="M5" s="112"/>
      <c r="N5" s="112"/>
      <c r="O5" s="112"/>
      <c r="P5" s="112"/>
      <c r="Q5" s="112"/>
      <c r="R5" s="112"/>
    </row>
    <row r="6" spans="1:18" s="95" customFormat="1" ht="5.0999999999999996" customHeight="1" x14ac:dyDescent="0.3">
      <c r="A6" s="114"/>
      <c r="B6" s="98"/>
      <c r="C6" s="98"/>
      <c r="D6" s="98"/>
      <c r="E6" s="98"/>
      <c r="F6" s="98"/>
      <c r="G6" s="98"/>
      <c r="H6" s="98"/>
      <c r="I6" s="98"/>
      <c r="J6" s="98"/>
      <c r="K6" s="98"/>
      <c r="L6" s="98"/>
      <c r="M6" s="98"/>
      <c r="N6" s="98"/>
      <c r="O6" s="98"/>
    </row>
    <row r="7" spans="1:18" s="24" customFormat="1" ht="14.25" customHeight="1" x14ac:dyDescent="0.3">
      <c r="A7" s="22"/>
      <c r="B7" s="23"/>
      <c r="C7" s="17"/>
      <c r="D7" s="17"/>
      <c r="E7" s="17"/>
      <c r="F7" s="17"/>
      <c r="G7" s="17"/>
      <c r="H7" s="17"/>
      <c r="I7" s="17"/>
      <c r="J7" s="17"/>
      <c r="K7" s="17"/>
      <c r="L7" s="17"/>
      <c r="M7" s="17"/>
      <c r="N7" s="17"/>
      <c r="O7" s="17"/>
      <c r="P7" s="17"/>
      <c r="Q7" s="17"/>
      <c r="R7" s="17"/>
    </row>
    <row r="8" spans="1:18" s="14" customFormat="1" ht="14.25" customHeight="1" x14ac:dyDescent="0.3">
      <c r="A8" s="11"/>
      <c r="B8" s="12"/>
      <c r="C8" s="11"/>
      <c r="D8" s="11"/>
      <c r="E8" s="11"/>
      <c r="F8" s="11"/>
      <c r="G8" s="11"/>
      <c r="H8" s="11"/>
      <c r="I8" s="11"/>
      <c r="J8" s="11"/>
      <c r="K8" s="11"/>
      <c r="L8" s="11"/>
      <c r="M8" s="11"/>
      <c r="N8" s="11"/>
      <c r="O8" s="11"/>
      <c r="P8" s="11"/>
      <c r="Q8" s="11"/>
      <c r="R8" s="11"/>
    </row>
    <row r="9" spans="1:18" s="117" customFormat="1" ht="14.25" customHeight="1" x14ac:dyDescent="0.3">
      <c r="A9" s="116" t="s">
        <v>102</v>
      </c>
      <c r="B9" s="116"/>
      <c r="C9" s="116"/>
      <c r="D9" s="116"/>
      <c r="E9" s="116"/>
      <c r="F9" s="116"/>
      <c r="G9" s="116"/>
      <c r="H9" s="116"/>
      <c r="I9" s="116"/>
      <c r="J9" s="116"/>
      <c r="K9" s="116"/>
    </row>
    <row r="10" spans="1:18" s="95" customFormat="1" ht="14.25" customHeight="1" x14ac:dyDescent="0.3">
      <c r="A10" s="166" t="s">
        <v>1</v>
      </c>
      <c r="B10" s="167"/>
      <c r="C10" s="167"/>
      <c r="D10" s="167"/>
      <c r="E10" s="167"/>
      <c r="F10" s="167"/>
      <c r="G10" s="167"/>
      <c r="H10" s="167"/>
      <c r="I10" s="167"/>
      <c r="J10" s="167"/>
      <c r="K10" s="167"/>
      <c r="L10" s="167"/>
      <c r="M10" s="167"/>
      <c r="N10" s="167"/>
      <c r="O10" s="168"/>
      <c r="P10" s="168"/>
      <c r="Q10" s="168"/>
      <c r="R10" s="168"/>
    </row>
    <row r="11" spans="1:18" s="72" customFormat="1" ht="14.25" customHeight="1" x14ac:dyDescent="0.3">
      <c r="A11" s="73"/>
      <c r="B11" s="74"/>
      <c r="C11" s="40"/>
      <c r="D11" s="40"/>
      <c r="E11" s="40"/>
      <c r="F11" s="40"/>
      <c r="G11" s="40"/>
      <c r="H11" s="40"/>
      <c r="I11" s="40"/>
      <c r="J11" s="40"/>
      <c r="K11" s="40"/>
      <c r="L11" s="40"/>
      <c r="M11" s="40"/>
      <c r="N11" s="40"/>
      <c r="O11" s="40"/>
      <c r="P11" s="40"/>
      <c r="Q11" s="40"/>
      <c r="R11" s="40"/>
    </row>
    <row r="12" spans="1:18" s="109" customFormat="1" ht="14.25" customHeight="1" x14ac:dyDescent="0.3">
      <c r="A12" s="108" t="s">
        <v>103</v>
      </c>
      <c r="B12" s="50" t="s">
        <v>12</v>
      </c>
      <c r="C12" s="108" t="s">
        <v>13</v>
      </c>
      <c r="D12" s="108"/>
      <c r="E12" s="54"/>
      <c r="F12" s="54"/>
      <c r="G12" s="54"/>
      <c r="H12" s="54"/>
      <c r="I12" s="54"/>
      <c r="J12" s="54"/>
      <c r="K12" s="54"/>
      <c r="L12" s="54"/>
      <c r="M12" s="54"/>
      <c r="N12" s="54"/>
      <c r="O12" s="54"/>
      <c r="P12" s="54"/>
      <c r="Q12" s="54"/>
      <c r="R12" s="54"/>
    </row>
    <row r="13" spans="1:18" s="72" customFormat="1" ht="14.25" customHeight="1" x14ac:dyDescent="0.3">
      <c r="A13" s="40" t="s">
        <v>65</v>
      </c>
      <c r="B13" s="62">
        <f>VLOOKUP($A$5,tech_param[],3,FALSE)</f>
        <v>20000</v>
      </c>
      <c r="C13" s="40" t="s">
        <v>104</v>
      </c>
      <c r="D13" s="76"/>
      <c r="E13" s="40"/>
      <c r="F13" s="40"/>
      <c r="G13" s="40"/>
      <c r="H13" s="40"/>
      <c r="I13" s="40"/>
      <c r="J13" s="40"/>
      <c r="K13" s="40"/>
      <c r="L13" s="40"/>
      <c r="M13" s="40"/>
      <c r="N13" s="40"/>
      <c r="O13" s="40"/>
      <c r="P13" s="40"/>
      <c r="Q13" s="40"/>
      <c r="R13" s="40"/>
    </row>
    <row r="14" spans="1:18" s="72" customFormat="1" ht="14.25" customHeight="1" x14ac:dyDescent="0.3">
      <c r="A14" s="40" t="s">
        <v>105</v>
      </c>
      <c r="B14" s="45">
        <f>VLOOKUP($A$5,tech_param[],4,FALSE)</f>
        <v>0.99</v>
      </c>
      <c r="C14" s="40" t="s">
        <v>106</v>
      </c>
      <c r="D14" s="76"/>
      <c r="E14" s="40"/>
      <c r="F14" s="40"/>
      <c r="G14" s="40"/>
      <c r="H14" s="40"/>
      <c r="I14" s="40"/>
      <c r="J14" s="40"/>
      <c r="K14" s="40"/>
      <c r="L14" s="40"/>
      <c r="M14" s="40"/>
      <c r="N14" s="40"/>
      <c r="O14" s="40"/>
      <c r="P14" s="40"/>
      <c r="Q14" s="40"/>
      <c r="R14" s="40"/>
    </row>
    <row r="15" spans="1:18" s="72" customFormat="1" ht="14.25" customHeight="1" x14ac:dyDescent="0.3">
      <c r="A15" s="40" t="s">
        <v>107</v>
      </c>
      <c r="B15" s="77">
        <f>B13*B14*B16</f>
        <v>19800</v>
      </c>
      <c r="C15" s="40" t="s">
        <v>108</v>
      </c>
      <c r="D15" s="76"/>
      <c r="E15" s="40"/>
      <c r="F15" s="40"/>
      <c r="G15" s="40"/>
      <c r="H15" s="40"/>
      <c r="I15" s="40"/>
      <c r="J15" s="40"/>
      <c r="K15" s="40"/>
      <c r="L15" s="40"/>
      <c r="M15" s="40"/>
      <c r="N15" s="40"/>
      <c r="O15" s="40"/>
      <c r="P15" s="40"/>
      <c r="Q15" s="40"/>
      <c r="R15" s="40"/>
    </row>
    <row r="16" spans="1:18" s="72" customFormat="1" ht="14.25" customHeight="1" x14ac:dyDescent="0.3">
      <c r="A16" s="40" t="s">
        <v>109</v>
      </c>
      <c r="B16" s="78">
        <f>VLOOKUP($A$5,tech_param[],5,FALSE)</f>
        <v>1</v>
      </c>
      <c r="C16" s="79" t="s">
        <v>110</v>
      </c>
      <c r="D16" s="153" t="s">
        <v>111</v>
      </c>
      <c r="E16" s="40"/>
      <c r="F16" s="40"/>
      <c r="G16" s="40"/>
      <c r="H16" s="40"/>
      <c r="I16" s="40"/>
      <c r="J16" s="40"/>
      <c r="K16" s="40"/>
      <c r="L16" s="40"/>
      <c r="M16" s="40"/>
      <c r="N16" s="40"/>
      <c r="O16" s="40"/>
      <c r="P16" s="40"/>
      <c r="Q16" s="40"/>
      <c r="R16" s="40"/>
    </row>
    <row r="17" spans="1:18" s="72" customFormat="1" ht="14.25" customHeight="1" x14ac:dyDescent="0.3">
      <c r="A17" s="40" t="s">
        <v>112</v>
      </c>
      <c r="B17" s="62">
        <f>VLOOKUP($A$5,tech_param[],6,FALSE)</f>
        <v>3300</v>
      </c>
      <c r="C17" s="40" t="s">
        <v>113</v>
      </c>
      <c r="D17" s="76"/>
      <c r="E17" s="40"/>
      <c r="F17" s="40"/>
      <c r="G17" s="40"/>
      <c r="H17" s="40"/>
      <c r="I17" s="40"/>
      <c r="J17" s="40"/>
      <c r="K17" s="40"/>
      <c r="L17" s="40"/>
      <c r="M17" s="40"/>
      <c r="N17" s="40"/>
      <c r="O17" s="40"/>
      <c r="P17" s="40"/>
      <c r="Q17" s="40"/>
      <c r="R17" s="40"/>
    </row>
    <row r="18" spans="1:18" s="72" customFormat="1" ht="14.25" customHeight="1" x14ac:dyDescent="0.3">
      <c r="A18" s="40" t="s">
        <v>114</v>
      </c>
      <c r="B18" s="77">
        <f>(B13*B17)/1000</f>
        <v>66000</v>
      </c>
      <c r="C18" s="40" t="s">
        <v>115</v>
      </c>
      <c r="D18" s="76"/>
      <c r="E18" s="40"/>
      <c r="F18" s="40"/>
      <c r="G18" s="40"/>
      <c r="H18" s="40"/>
      <c r="I18" s="40"/>
      <c r="J18" s="40"/>
      <c r="K18" s="40"/>
      <c r="L18" s="40"/>
      <c r="M18" s="40"/>
      <c r="N18" s="40"/>
      <c r="O18" s="40"/>
      <c r="P18" s="40"/>
      <c r="Q18" s="40"/>
      <c r="R18" s="40"/>
    </row>
    <row r="19" spans="1:18" s="72" customFormat="1" ht="14.25" customHeight="1" x14ac:dyDescent="0.3">
      <c r="A19" s="40"/>
      <c r="B19" s="74"/>
      <c r="C19" s="40"/>
      <c r="D19" s="76"/>
      <c r="E19" s="40"/>
      <c r="F19" s="40"/>
      <c r="G19" s="40"/>
      <c r="H19" s="40"/>
      <c r="I19" s="40"/>
      <c r="J19" s="40"/>
      <c r="K19" s="40"/>
      <c r="L19" s="40"/>
      <c r="M19" s="40"/>
      <c r="N19" s="40"/>
      <c r="O19" s="40"/>
      <c r="P19" s="40"/>
      <c r="Q19" s="40"/>
      <c r="R19" s="40"/>
    </row>
    <row r="20" spans="1:18" s="109" customFormat="1" ht="14.25" customHeight="1" x14ac:dyDescent="0.3">
      <c r="A20" s="108" t="s">
        <v>116</v>
      </c>
      <c r="B20" s="50" t="s">
        <v>12</v>
      </c>
      <c r="C20" s="108" t="s">
        <v>13</v>
      </c>
      <c r="D20" s="76"/>
      <c r="E20" s="40"/>
      <c r="F20" s="54"/>
      <c r="G20" s="54"/>
      <c r="H20" s="54"/>
      <c r="I20" s="54"/>
      <c r="J20" s="54"/>
      <c r="K20" s="54"/>
      <c r="L20" s="54"/>
      <c r="M20" s="54"/>
      <c r="N20" s="54"/>
      <c r="O20" s="54"/>
      <c r="P20" s="54"/>
      <c r="Q20" s="54"/>
      <c r="R20" s="54"/>
    </row>
    <row r="21" spans="1:18" s="72" customFormat="1" ht="14.25" customHeight="1" x14ac:dyDescent="0.3">
      <c r="A21" s="79" t="s">
        <v>117</v>
      </c>
      <c r="B21" s="42">
        <f>VLOOKUP($A$5,tech_param[],7,FALSE)</f>
        <v>257</v>
      </c>
      <c r="C21" s="40" t="s">
        <v>118</v>
      </c>
      <c r="D21" s="80"/>
      <c r="E21" s="40"/>
      <c r="F21" s="40"/>
      <c r="G21" s="40"/>
      <c r="H21" s="40"/>
      <c r="I21" s="40"/>
      <c r="J21" s="40"/>
      <c r="K21" s="40"/>
      <c r="L21" s="40"/>
      <c r="M21" s="40"/>
      <c r="N21" s="40"/>
      <c r="O21" s="40"/>
      <c r="P21" s="40"/>
      <c r="Q21" s="40"/>
      <c r="R21" s="40"/>
    </row>
    <row r="22" spans="1:18" s="72" customFormat="1" ht="14.25" customHeight="1" x14ac:dyDescent="0.3">
      <c r="A22" s="40" t="s">
        <v>119</v>
      </c>
      <c r="B22" s="77">
        <f>B21*B15</f>
        <v>5088600</v>
      </c>
      <c r="C22" s="40" t="s">
        <v>120</v>
      </c>
      <c r="D22" s="76"/>
      <c r="E22" s="40"/>
      <c r="F22" s="40"/>
      <c r="G22" s="40"/>
      <c r="H22" s="40"/>
      <c r="I22" s="40"/>
      <c r="J22" s="40"/>
      <c r="K22" s="40"/>
      <c r="L22" s="40"/>
      <c r="M22" s="40"/>
      <c r="N22" s="40"/>
      <c r="O22" s="40"/>
      <c r="P22" s="40"/>
      <c r="Q22" s="40"/>
      <c r="R22" s="40"/>
    </row>
    <row r="23" spans="1:18" s="72" customFormat="1" ht="14.25" customHeight="1" x14ac:dyDescent="0.3">
      <c r="A23" s="79" t="s">
        <v>121</v>
      </c>
      <c r="B23" s="81">
        <f>VLOOKUP($A$5,tech_param[],9,FALSE)*VLOOKUP($A$5,tech_param[],10,FALSE)</f>
        <v>44.755539224327997</v>
      </c>
      <c r="C23" s="40" t="s">
        <v>183</v>
      </c>
      <c r="D23" s="76"/>
      <c r="E23" s="40"/>
      <c r="F23" s="40"/>
      <c r="G23" s="40"/>
      <c r="H23" s="40"/>
      <c r="I23" s="40"/>
      <c r="J23" s="40"/>
      <c r="K23" s="40"/>
      <c r="L23" s="40"/>
      <c r="M23" s="40"/>
      <c r="N23" s="40"/>
      <c r="O23" s="40"/>
      <c r="P23" s="40"/>
      <c r="Q23" s="40"/>
      <c r="R23" s="40"/>
    </row>
    <row r="24" spans="1:18" s="72" customFormat="1" ht="14.25" customHeight="1" x14ac:dyDescent="0.3">
      <c r="A24" s="79" t="s">
        <v>122</v>
      </c>
      <c r="B24" s="77">
        <f>VLOOKUP($A$5,tech_param[],8,FALSE)*B22/100</f>
        <v>152658</v>
      </c>
      <c r="C24" s="40" t="s">
        <v>123</v>
      </c>
      <c r="D24" s="76"/>
      <c r="E24" s="40"/>
      <c r="F24" s="40"/>
      <c r="G24" s="40"/>
      <c r="H24" s="40"/>
      <c r="I24" s="40"/>
      <c r="J24" s="40"/>
      <c r="K24" s="40"/>
      <c r="L24" s="40"/>
      <c r="M24" s="40"/>
      <c r="N24" s="40"/>
      <c r="O24" s="40"/>
      <c r="P24" s="40"/>
      <c r="Q24" s="40"/>
      <c r="R24" s="40"/>
    </row>
    <row r="25" spans="1:18" s="72" customFormat="1" ht="14.25" customHeight="1" x14ac:dyDescent="0.3">
      <c r="A25" s="40" t="s">
        <v>124</v>
      </c>
      <c r="B25" s="77">
        <f>B23*B13+B24</f>
        <v>1047768.7844865599</v>
      </c>
      <c r="C25" s="40" t="s">
        <v>123</v>
      </c>
      <c r="D25" s="76"/>
      <c r="E25" s="40"/>
      <c r="F25" s="40"/>
      <c r="G25" s="40"/>
      <c r="H25" s="40"/>
      <c r="I25" s="40"/>
      <c r="J25" s="40"/>
      <c r="K25" s="40"/>
      <c r="L25" s="40"/>
      <c r="M25" s="40"/>
      <c r="N25" s="40"/>
      <c r="O25" s="40"/>
      <c r="P25" s="40"/>
      <c r="Q25" s="40"/>
      <c r="R25" s="40"/>
    </row>
    <row r="26" spans="1:18" s="72" customFormat="1" ht="14.25" customHeight="1" x14ac:dyDescent="0.3">
      <c r="A26" s="79" t="s">
        <v>182</v>
      </c>
      <c r="B26" s="82">
        <f>VLOOKUP($A$5,tech_param[],11,FALSE)</f>
        <v>3.5000000000000003E-2</v>
      </c>
      <c r="C26" s="83" t="s">
        <v>125</v>
      </c>
      <c r="D26" s="76"/>
      <c r="E26" s="40"/>
      <c r="F26" s="40"/>
      <c r="G26" s="40"/>
      <c r="H26" s="40"/>
      <c r="I26" s="40"/>
      <c r="J26" s="40"/>
      <c r="K26" s="40"/>
      <c r="L26" s="40"/>
      <c r="M26" s="40"/>
      <c r="N26" s="40"/>
      <c r="O26" s="40"/>
      <c r="P26" s="40"/>
      <c r="Q26" s="40"/>
      <c r="R26" s="40"/>
    </row>
    <row r="27" spans="1:18" s="72" customFormat="1" ht="14.25" customHeight="1" x14ac:dyDescent="0.3">
      <c r="A27" s="79" t="s">
        <v>126</v>
      </c>
      <c r="B27" s="82">
        <f>VLOOKUP($A$5,tech_param[],12,FALSE)</f>
        <v>7.7158303998599992E-3</v>
      </c>
      <c r="C27" s="40" t="s">
        <v>55</v>
      </c>
      <c r="D27" s="76"/>
      <c r="E27" s="40"/>
      <c r="F27" s="40"/>
      <c r="G27" s="40"/>
      <c r="H27" s="40"/>
      <c r="I27" s="40"/>
      <c r="J27" s="40"/>
      <c r="K27" s="40"/>
      <c r="L27" s="40"/>
      <c r="M27" s="40"/>
      <c r="N27" s="40"/>
      <c r="O27" s="40"/>
      <c r="P27" s="40"/>
      <c r="Q27" s="40"/>
      <c r="R27" s="40"/>
    </row>
    <row r="28" spans="1:18" s="72" customFormat="1" ht="14.25" customHeight="1" x14ac:dyDescent="0.3">
      <c r="A28" s="40" t="s">
        <v>127</v>
      </c>
      <c r="B28" s="84">
        <f>SUM(B26:B27)</f>
        <v>4.2715830399860003E-2</v>
      </c>
      <c r="C28" s="40" t="s">
        <v>55</v>
      </c>
      <c r="D28" s="76"/>
      <c r="E28" s="40"/>
      <c r="F28" s="40"/>
      <c r="G28" s="40"/>
      <c r="H28" s="40"/>
      <c r="I28" s="40"/>
      <c r="J28" s="40"/>
      <c r="K28" s="40"/>
      <c r="L28" s="40"/>
      <c r="M28" s="40"/>
      <c r="N28" s="40"/>
      <c r="O28" s="40"/>
      <c r="P28" s="40"/>
      <c r="Q28" s="40"/>
      <c r="R28" s="40"/>
    </row>
    <row r="29" spans="1:18" s="72" customFormat="1" ht="14.25" customHeight="1" x14ac:dyDescent="0.3">
      <c r="A29" s="40"/>
      <c r="B29" s="74"/>
      <c r="C29" s="40"/>
      <c r="D29" s="43"/>
      <c r="E29" s="43"/>
      <c r="F29" s="43"/>
      <c r="G29" s="43"/>
      <c r="H29" s="43"/>
      <c r="I29" s="43"/>
      <c r="J29" s="43"/>
      <c r="K29" s="43"/>
      <c r="L29" s="43"/>
      <c r="M29" s="43"/>
      <c r="N29" s="43"/>
      <c r="O29" s="43"/>
      <c r="P29" s="43"/>
      <c r="Q29" s="40"/>
      <c r="R29" s="40"/>
    </row>
    <row r="30" spans="1:18" s="72" customFormat="1" ht="14.25" customHeight="1" x14ac:dyDescent="0.3">
      <c r="A30" s="75" t="s">
        <v>128</v>
      </c>
      <c r="B30" s="37" t="s">
        <v>12</v>
      </c>
      <c r="C30" s="75" t="s">
        <v>129</v>
      </c>
      <c r="D30" s="108" t="s">
        <v>14</v>
      </c>
      <c r="E30" s="43"/>
      <c r="F30" s="43"/>
      <c r="G30" s="43"/>
      <c r="H30" s="43"/>
      <c r="I30" s="43"/>
      <c r="J30" s="43"/>
      <c r="K30" s="43"/>
      <c r="L30" s="43"/>
      <c r="M30" s="43"/>
      <c r="N30" s="43"/>
      <c r="O30" s="43"/>
      <c r="P30" s="43"/>
      <c r="Q30" s="40"/>
      <c r="R30" s="40"/>
    </row>
    <row r="31" spans="1:18" s="72" customFormat="1" ht="14.25" customHeight="1" x14ac:dyDescent="0.3">
      <c r="A31" s="40" t="s">
        <v>130</v>
      </c>
      <c r="B31" s="85">
        <f>'Algemene parameters'!B13</f>
        <v>0.20239199999999999</v>
      </c>
      <c r="C31" s="40" t="s">
        <v>131</v>
      </c>
      <c r="D31" s="43" t="s">
        <v>132</v>
      </c>
      <c r="E31" s="43"/>
      <c r="F31" s="43"/>
      <c r="G31" s="43"/>
      <c r="H31" s="43"/>
      <c r="I31" s="43"/>
      <c r="J31" s="43"/>
      <c r="K31" s="43"/>
      <c r="L31" s="43"/>
      <c r="M31" s="43"/>
      <c r="N31" s="43"/>
      <c r="O31" s="43"/>
      <c r="P31" s="43"/>
      <c r="Q31" s="40"/>
      <c r="R31" s="40"/>
    </row>
    <row r="32" spans="1:18" s="72" customFormat="1" ht="14.25" customHeight="1" x14ac:dyDescent="0.3">
      <c r="A32" s="40" t="s">
        <v>133</v>
      </c>
      <c r="B32" s="86">
        <f>'Algemene parameters'!B15</f>
        <v>0.22487999999999997</v>
      </c>
      <c r="C32" s="40" t="s">
        <v>134</v>
      </c>
      <c r="D32" s="43" t="s">
        <v>135</v>
      </c>
      <c r="E32" s="43"/>
      <c r="F32" s="43"/>
      <c r="G32" s="43"/>
      <c r="H32" s="43"/>
      <c r="I32" s="43"/>
      <c r="J32" s="43"/>
      <c r="K32" s="43"/>
      <c r="L32" s="43"/>
      <c r="M32" s="43"/>
      <c r="N32" s="43"/>
      <c r="O32" s="43"/>
      <c r="P32" s="43"/>
      <c r="Q32" s="40"/>
      <c r="R32" s="40"/>
    </row>
    <row r="33" spans="1:18" s="72" customFormat="1" ht="14.25" customHeight="1" x14ac:dyDescent="0.3">
      <c r="A33" s="40" t="s">
        <v>136</v>
      </c>
      <c r="B33" s="85">
        <f>VLOOKUP($A$5,tech_param[],13,FALSE)</f>
        <v>5.2999999999999999E-2</v>
      </c>
      <c r="C33" s="40" t="s">
        <v>137</v>
      </c>
      <c r="D33" s="43"/>
      <c r="E33" s="43"/>
      <c r="F33" s="43"/>
      <c r="G33" s="43"/>
      <c r="H33" s="43"/>
      <c r="I33" s="43"/>
      <c r="J33" s="43"/>
      <c r="K33" s="43"/>
      <c r="L33" s="43"/>
      <c r="M33" s="43"/>
      <c r="N33" s="43"/>
      <c r="O33" s="43"/>
      <c r="P33" s="43"/>
      <c r="Q33" s="40"/>
      <c r="R33" s="40"/>
    </row>
    <row r="34" spans="1:18" s="72" customFormat="1" ht="14.25" customHeight="1" x14ac:dyDescent="0.3">
      <c r="A34" s="40" t="s">
        <v>138</v>
      </c>
      <c r="B34" s="86">
        <f>B32-(B33*B13/B15)</f>
        <v>0.17134464646464642</v>
      </c>
      <c r="C34" s="40" t="s">
        <v>134</v>
      </c>
      <c r="D34" s="43" t="s">
        <v>139</v>
      </c>
      <c r="E34" s="43"/>
      <c r="F34" s="43"/>
      <c r="G34" s="43"/>
      <c r="H34" s="43"/>
      <c r="I34" s="43"/>
      <c r="J34" s="43"/>
      <c r="K34" s="43"/>
      <c r="L34" s="43"/>
      <c r="M34" s="43"/>
      <c r="N34" s="43"/>
      <c r="O34" s="43"/>
      <c r="P34" s="43"/>
      <c r="Q34" s="40"/>
      <c r="R34" s="40"/>
    </row>
    <row r="35" spans="1:18" s="72" customFormat="1" ht="14.25" customHeight="1" x14ac:dyDescent="0.3">
      <c r="A35" s="40"/>
      <c r="B35" s="74"/>
      <c r="C35" s="40"/>
      <c r="D35" s="43"/>
      <c r="E35" s="43"/>
      <c r="F35" s="43"/>
      <c r="G35" s="43"/>
      <c r="H35" s="43"/>
      <c r="I35" s="43"/>
      <c r="J35" s="43"/>
      <c r="K35" s="43"/>
      <c r="L35" s="43"/>
      <c r="M35" s="43"/>
      <c r="N35" s="43"/>
      <c r="O35" s="43"/>
      <c r="P35" s="43"/>
      <c r="Q35" s="40"/>
      <c r="R35" s="40"/>
    </row>
    <row r="36" spans="1:18" s="109" customFormat="1" ht="14.25" customHeight="1" x14ac:dyDescent="0.3">
      <c r="A36" s="108" t="s">
        <v>28</v>
      </c>
      <c r="B36" s="50" t="s">
        <v>12</v>
      </c>
      <c r="C36" s="108" t="s">
        <v>13</v>
      </c>
      <c r="D36" s="43"/>
      <c r="E36" s="43"/>
      <c r="F36" s="43"/>
      <c r="G36" s="43"/>
      <c r="H36" s="43"/>
      <c r="I36" s="43"/>
      <c r="J36" s="43"/>
      <c r="K36" s="43"/>
      <c r="L36" s="43"/>
      <c r="M36" s="43"/>
      <c r="N36" s="43"/>
      <c r="O36" s="43"/>
      <c r="P36" s="43"/>
      <c r="Q36" s="54"/>
      <c r="R36" s="54"/>
    </row>
    <row r="37" spans="1:18" s="72" customFormat="1" ht="14.25" customHeight="1" x14ac:dyDescent="0.3">
      <c r="A37" s="40" t="s">
        <v>76</v>
      </c>
      <c r="B37" s="88">
        <f>VLOOKUP($A$5,tech_param[],14,FALSE)</f>
        <v>10</v>
      </c>
      <c r="C37" s="40" t="s">
        <v>30</v>
      </c>
      <c r="D37" s="43"/>
      <c r="E37" s="43"/>
      <c r="F37" s="43"/>
      <c r="G37" s="43"/>
      <c r="H37" s="43"/>
      <c r="I37" s="43"/>
      <c r="J37" s="43"/>
      <c r="K37" s="43"/>
      <c r="L37" s="43"/>
      <c r="M37" s="43"/>
      <c r="N37" s="43"/>
      <c r="O37" s="43"/>
      <c r="P37" s="43"/>
      <c r="Q37" s="40"/>
      <c r="R37" s="40"/>
    </row>
    <row r="38" spans="1:18" s="72" customFormat="1" ht="14.25" customHeight="1" x14ac:dyDescent="0.3">
      <c r="A38" s="40" t="s">
        <v>29</v>
      </c>
      <c r="B38" s="62">
        <f>'Algemene parameters'!B23</f>
        <v>10</v>
      </c>
      <c r="C38" s="40" t="s">
        <v>30</v>
      </c>
      <c r="D38" s="43"/>
      <c r="E38" s="43"/>
      <c r="F38" s="43"/>
      <c r="G38" s="43"/>
      <c r="H38" s="43"/>
      <c r="I38" s="43"/>
      <c r="J38" s="43"/>
      <c r="K38" s="43"/>
      <c r="L38" s="43"/>
      <c r="M38" s="43"/>
      <c r="N38" s="43"/>
      <c r="O38" s="43"/>
      <c r="P38" s="43"/>
      <c r="Q38" s="40"/>
      <c r="R38" s="40"/>
    </row>
    <row r="39" spans="1:18" s="72" customFormat="1" ht="14.25" customHeight="1" x14ac:dyDescent="0.3">
      <c r="A39" s="40" t="s">
        <v>31</v>
      </c>
      <c r="B39" s="90">
        <f>'Algemene parameters'!B24</f>
        <v>0.02</v>
      </c>
      <c r="C39" s="40"/>
      <c r="D39" s="43"/>
      <c r="E39" s="43"/>
      <c r="F39" s="43"/>
      <c r="G39" s="43"/>
      <c r="H39" s="43"/>
      <c r="I39" s="43"/>
      <c r="J39" s="43"/>
      <c r="K39" s="43"/>
      <c r="L39" s="43"/>
      <c r="M39" s="43"/>
      <c r="N39" s="43"/>
      <c r="O39" s="43"/>
      <c r="P39" s="43"/>
      <c r="Q39" s="40"/>
      <c r="R39" s="40"/>
    </row>
    <row r="40" spans="1:18" s="72" customFormat="1" ht="14.25" customHeight="1" x14ac:dyDescent="0.3">
      <c r="A40" s="79" t="s">
        <v>140</v>
      </c>
      <c r="B40" s="90">
        <f>'Algemene parameters'!B25</f>
        <v>5.7500000000000002E-2</v>
      </c>
      <c r="C40" s="40"/>
      <c r="D40" s="40"/>
      <c r="E40" s="40"/>
      <c r="F40" s="40"/>
      <c r="G40" s="40"/>
      <c r="H40" s="40"/>
      <c r="I40" s="40"/>
      <c r="J40" s="40"/>
      <c r="K40" s="40"/>
      <c r="L40" s="40"/>
      <c r="M40" s="40"/>
      <c r="N40" s="40"/>
      <c r="O40" s="40"/>
      <c r="P40" s="40"/>
      <c r="Q40" s="40"/>
      <c r="R40" s="40"/>
    </row>
    <row r="41" spans="1:18" s="72" customFormat="1" ht="14.25" customHeight="1" x14ac:dyDescent="0.3">
      <c r="A41" s="79" t="s">
        <v>141</v>
      </c>
      <c r="B41" s="45">
        <f>'Algemene parameters'!B26</f>
        <v>0.12</v>
      </c>
      <c r="C41" s="40"/>
      <c r="D41" s="40"/>
      <c r="E41" s="40"/>
      <c r="F41" s="40"/>
      <c r="G41" s="40"/>
      <c r="H41" s="40"/>
      <c r="I41" s="40"/>
      <c r="J41" s="40"/>
      <c r="K41" s="40"/>
      <c r="L41" s="40"/>
      <c r="M41" s="40"/>
      <c r="N41" s="40"/>
      <c r="O41" s="40"/>
      <c r="P41" s="40"/>
      <c r="Q41" s="40"/>
      <c r="R41" s="40"/>
    </row>
    <row r="42" spans="1:18" s="72" customFormat="1" ht="14.25" customHeight="1" x14ac:dyDescent="0.3">
      <c r="A42" s="79" t="s">
        <v>142</v>
      </c>
      <c r="B42" s="45">
        <f>'Algemene parameters'!B27</f>
        <v>0.58200000000000007</v>
      </c>
      <c r="C42" s="40"/>
      <c r="D42" s="40"/>
      <c r="E42" s="40"/>
      <c r="F42" s="40"/>
      <c r="G42" s="40"/>
      <c r="H42" s="40"/>
      <c r="I42" s="40"/>
      <c r="J42" s="40"/>
      <c r="K42" s="40"/>
      <c r="L42" s="40"/>
      <c r="M42" s="40"/>
      <c r="N42" s="40"/>
      <c r="O42" s="40"/>
      <c r="P42" s="40"/>
      <c r="Q42" s="40"/>
      <c r="R42" s="40"/>
    </row>
    <row r="43" spans="1:18" s="72" customFormat="1" ht="14.25" customHeight="1" x14ac:dyDescent="0.3">
      <c r="A43" s="79" t="s">
        <v>143</v>
      </c>
      <c r="B43" s="45">
        <f>'Algemene parameters'!B28</f>
        <v>0.41799999999999998</v>
      </c>
      <c r="C43" s="40"/>
      <c r="D43" s="40"/>
      <c r="E43" s="40"/>
      <c r="F43" s="40"/>
      <c r="G43" s="40"/>
      <c r="H43" s="40"/>
      <c r="I43" s="40"/>
      <c r="J43" s="40"/>
      <c r="K43" s="40"/>
      <c r="L43" s="40"/>
      <c r="M43" s="40"/>
      <c r="N43" s="40"/>
      <c r="O43" s="40"/>
      <c r="P43" s="40"/>
      <c r="Q43" s="40"/>
      <c r="R43" s="40"/>
    </row>
    <row r="44" spans="1:18" s="72" customFormat="1" ht="14.25" customHeight="1" x14ac:dyDescent="0.3">
      <c r="A44" s="40" t="s">
        <v>41</v>
      </c>
      <c r="B44" s="45">
        <f>'Algemene parameters'!B29</f>
        <v>0.25</v>
      </c>
      <c r="C44" s="40"/>
      <c r="D44" s="40"/>
      <c r="E44" s="40"/>
      <c r="F44" s="40"/>
      <c r="G44" s="40"/>
      <c r="H44" s="40"/>
      <c r="I44" s="40"/>
      <c r="J44" s="40"/>
      <c r="K44" s="40"/>
      <c r="L44" s="40"/>
      <c r="M44" s="40"/>
      <c r="N44" s="40"/>
      <c r="O44" s="40"/>
      <c r="P44" s="40"/>
      <c r="Q44" s="40"/>
      <c r="R44" s="40"/>
    </row>
    <row r="45" spans="1:18" s="72" customFormat="1" ht="14.25" customHeight="1" x14ac:dyDescent="0.3">
      <c r="A45" s="115" t="s">
        <v>42</v>
      </c>
      <c r="B45" s="111">
        <f>'Algemene parameters'!B30</f>
        <v>7.5258749999999999E-2</v>
      </c>
      <c r="C45" s="40"/>
      <c r="D45" s="40"/>
      <c r="E45" s="40"/>
      <c r="F45" s="40"/>
      <c r="G45" s="40"/>
      <c r="H45" s="40"/>
      <c r="I45" s="40"/>
      <c r="J45" s="40"/>
      <c r="K45" s="40"/>
      <c r="L45" s="40"/>
      <c r="M45" s="40"/>
      <c r="N45" s="40"/>
      <c r="O45" s="40"/>
      <c r="P45" s="40"/>
      <c r="Q45" s="40"/>
      <c r="R45" s="40"/>
    </row>
    <row r="46" spans="1:18" s="72" customFormat="1" ht="14.25" customHeight="1" x14ac:dyDescent="0.3">
      <c r="A46" s="40"/>
      <c r="B46" s="40"/>
      <c r="C46" s="40"/>
      <c r="D46" s="91"/>
      <c r="E46" s="91"/>
      <c r="F46" s="91"/>
      <c r="G46" s="91"/>
      <c r="H46" s="91"/>
      <c r="I46" s="91"/>
      <c r="J46" s="91"/>
      <c r="K46" s="91"/>
      <c r="L46" s="91"/>
      <c r="M46" s="91"/>
      <c r="N46" s="40"/>
      <c r="O46" s="40"/>
      <c r="P46" s="40"/>
      <c r="Q46" s="40"/>
      <c r="R46" s="40"/>
    </row>
    <row r="47" spans="1:18" s="109" customFormat="1" ht="14.25" customHeight="1" x14ac:dyDescent="0.3">
      <c r="A47" s="108" t="s">
        <v>144</v>
      </c>
      <c r="B47" s="50" t="s">
        <v>12</v>
      </c>
      <c r="C47" s="108" t="s">
        <v>13</v>
      </c>
      <c r="D47" s="108" t="s">
        <v>14</v>
      </c>
      <c r="E47" s="54"/>
      <c r="F47" s="54"/>
      <c r="G47" s="54"/>
      <c r="H47" s="54"/>
      <c r="I47" s="54"/>
      <c r="J47" s="110"/>
      <c r="K47" s="54"/>
      <c r="L47" s="54"/>
      <c r="M47" s="54"/>
      <c r="N47" s="54"/>
      <c r="O47" s="54"/>
      <c r="P47" s="54"/>
      <c r="Q47" s="54"/>
      <c r="R47" s="54"/>
    </row>
    <row r="48" spans="1:18" s="72" customFormat="1" ht="14.25" customHeight="1" x14ac:dyDescent="0.3">
      <c r="A48" s="79" t="s">
        <v>145</v>
      </c>
      <c r="B48" s="92">
        <f>'Algemene parameters'!B42/'Algemene parameters'!B14/B34*1000</f>
        <v>233.62288297777175</v>
      </c>
      <c r="C48" s="40" t="s">
        <v>91</v>
      </c>
      <c r="D48" s="43" t="s">
        <v>146</v>
      </c>
      <c r="E48" s="43"/>
      <c r="F48" s="43"/>
      <c r="G48" s="43"/>
      <c r="H48" s="43"/>
      <c r="I48" s="43"/>
      <c r="J48" s="87"/>
      <c r="K48" s="40"/>
      <c r="L48" s="40"/>
      <c r="M48" s="40"/>
      <c r="N48" s="40"/>
      <c r="O48" s="40"/>
      <c r="P48" s="40"/>
      <c r="Q48" s="40"/>
      <c r="R48" s="40"/>
    </row>
    <row r="49" spans="1:18" s="72" customFormat="1" ht="14.25" customHeight="1" x14ac:dyDescent="0.3">
      <c r="A49" s="79" t="s">
        <v>147</v>
      </c>
      <c r="B49" s="92">
        <f>(('Algemene parameters'!B44/1000*B32))/B34*1000</f>
        <v>185.71061691481282</v>
      </c>
      <c r="C49" s="40" t="s">
        <v>91</v>
      </c>
      <c r="D49" s="43" t="s">
        <v>148</v>
      </c>
      <c r="E49" s="43"/>
      <c r="F49" s="43"/>
      <c r="G49" s="43"/>
      <c r="H49" s="43"/>
      <c r="I49" s="43"/>
      <c r="J49" s="87"/>
      <c r="K49" s="40"/>
      <c r="L49" s="40"/>
      <c r="M49" s="40"/>
      <c r="N49" s="40"/>
      <c r="O49" s="40"/>
      <c r="P49" s="40"/>
      <c r="Q49" s="40"/>
      <c r="R49" s="40"/>
    </row>
    <row r="50" spans="1:18" s="72" customFormat="1" ht="14.25" customHeight="1" x14ac:dyDescent="0.3">
      <c r="A50" s="79" t="s">
        <v>149</v>
      </c>
      <c r="B50" s="92">
        <f>(('Algemene parameters'!B45/1000*B32))/B34*1000</f>
        <v>78.35281858526028</v>
      </c>
      <c r="C50" s="40" t="s">
        <v>91</v>
      </c>
      <c r="D50" s="43" t="s">
        <v>150</v>
      </c>
      <c r="E50" s="43"/>
      <c r="F50" s="43"/>
      <c r="G50" s="43"/>
      <c r="H50" s="43"/>
      <c r="I50" s="43"/>
      <c r="J50" s="87"/>
      <c r="K50" s="40"/>
      <c r="L50" s="40"/>
      <c r="M50" s="40"/>
      <c r="N50" s="40"/>
      <c r="O50" s="40"/>
      <c r="P50" s="40"/>
      <c r="Q50" s="40"/>
      <c r="R50" s="40"/>
    </row>
    <row r="51" spans="1:18" s="72" customFormat="1" ht="14.25" customHeight="1" x14ac:dyDescent="0.3">
      <c r="A51" s="40" t="s">
        <v>151</v>
      </c>
      <c r="B51" s="92">
        <f>SUM(B48:B49)</f>
        <v>419.33349989258454</v>
      </c>
      <c r="C51" s="40" t="s">
        <v>91</v>
      </c>
      <c r="D51" s="43"/>
      <c r="E51" s="43"/>
      <c r="F51" s="43"/>
      <c r="G51" s="43"/>
      <c r="H51" s="43"/>
      <c r="I51" s="43"/>
      <c r="J51" s="89"/>
      <c r="K51" s="40"/>
      <c r="L51" s="40"/>
      <c r="M51" s="40"/>
      <c r="N51" s="40"/>
      <c r="O51" s="40"/>
      <c r="P51" s="40"/>
      <c r="Q51" s="40"/>
      <c r="R51" s="40"/>
    </row>
    <row r="52" spans="1:18" s="72" customFormat="1" ht="14.25" customHeight="1" x14ac:dyDescent="0.3">
      <c r="A52" s="40" t="s">
        <v>152</v>
      </c>
      <c r="B52" s="92">
        <f>B48+B50</f>
        <v>311.97570156303203</v>
      </c>
      <c r="C52" s="40" t="s">
        <v>91</v>
      </c>
      <c r="D52" s="43"/>
      <c r="E52" s="43"/>
      <c r="F52" s="43"/>
      <c r="G52" s="43"/>
      <c r="H52" s="43"/>
      <c r="I52" s="43"/>
      <c r="J52" s="89"/>
      <c r="K52" s="40"/>
      <c r="L52" s="40"/>
      <c r="M52" s="40"/>
      <c r="N52" s="40"/>
      <c r="O52" s="40"/>
      <c r="P52" s="40"/>
      <c r="Q52" s="40"/>
      <c r="R52" s="40"/>
    </row>
    <row r="53" spans="1:18" s="72" customFormat="1" ht="14.25" customHeight="1" x14ac:dyDescent="0.3">
      <c r="A53" s="40"/>
      <c r="B53" s="74"/>
      <c r="C53" s="40"/>
      <c r="D53" s="43"/>
      <c r="E53" s="43"/>
      <c r="F53" s="43"/>
      <c r="G53" s="43"/>
      <c r="H53" s="43"/>
      <c r="I53" s="43"/>
      <c r="J53" s="89"/>
      <c r="K53" s="40"/>
      <c r="L53" s="40"/>
      <c r="M53" s="40"/>
      <c r="N53" s="40"/>
      <c r="O53" s="40"/>
      <c r="P53" s="40"/>
      <c r="Q53" s="40"/>
      <c r="R53" s="40"/>
    </row>
    <row r="54" spans="1:18" s="109" customFormat="1" ht="14.25" customHeight="1" x14ac:dyDescent="0.3">
      <c r="A54" s="108" t="s">
        <v>153</v>
      </c>
      <c r="B54" s="50" t="s">
        <v>12</v>
      </c>
      <c r="C54" s="108" t="s">
        <v>13</v>
      </c>
      <c r="D54" s="108" t="s">
        <v>14</v>
      </c>
      <c r="E54" s="43"/>
      <c r="F54" s="43"/>
      <c r="G54" s="43"/>
      <c r="H54" s="43"/>
      <c r="I54" s="43"/>
      <c r="J54" s="110"/>
      <c r="K54" s="54"/>
      <c r="L54" s="54"/>
      <c r="M54" s="54"/>
      <c r="N54" s="54"/>
      <c r="O54" s="54"/>
      <c r="P54" s="54"/>
      <c r="Q54" s="54"/>
      <c r="R54" s="54"/>
    </row>
    <row r="55" spans="1:18" s="72" customFormat="1" ht="14.25" customHeight="1" x14ac:dyDescent="0.3">
      <c r="A55" s="79" t="s">
        <v>154</v>
      </c>
      <c r="B55" s="92">
        <f>B59/$B$34*1000</f>
        <v>155.74858865184783</v>
      </c>
      <c r="C55" s="40" t="s">
        <v>91</v>
      </c>
      <c r="D55" s="151" t="s">
        <v>155</v>
      </c>
      <c r="E55" s="151"/>
      <c r="F55" s="151"/>
      <c r="G55" s="151"/>
      <c r="H55" s="151"/>
      <c r="I55" s="151"/>
      <c r="J55" s="152"/>
      <c r="K55" s="40"/>
      <c r="L55" s="40"/>
      <c r="M55" s="40"/>
      <c r="N55" s="40"/>
      <c r="O55" s="40"/>
      <c r="P55" s="40"/>
      <c r="Q55" s="40"/>
      <c r="R55" s="40"/>
    </row>
    <row r="56" spans="1:18" s="72" customFormat="1" ht="14.25" customHeight="1" x14ac:dyDescent="0.3">
      <c r="A56" s="79" t="s">
        <v>156</v>
      </c>
      <c r="B56" s="92">
        <f>B60/$B$34*1000</f>
        <v>123.80707794320858</v>
      </c>
      <c r="C56" s="40" t="s">
        <v>91</v>
      </c>
      <c r="D56" s="151" t="s">
        <v>155</v>
      </c>
      <c r="E56" s="151"/>
      <c r="F56" s="151"/>
      <c r="G56" s="151"/>
      <c r="H56" s="151"/>
      <c r="I56" s="151"/>
      <c r="J56" s="152"/>
      <c r="K56" s="40"/>
      <c r="L56" s="40"/>
      <c r="M56" s="40"/>
      <c r="N56" s="40"/>
      <c r="O56" s="40"/>
      <c r="P56" s="40"/>
      <c r="Q56" s="40"/>
      <c r="R56" s="40"/>
    </row>
    <row r="57" spans="1:18" s="72" customFormat="1" ht="14.25" customHeight="1" x14ac:dyDescent="0.3">
      <c r="A57" s="79" t="s">
        <v>157</v>
      </c>
      <c r="B57" s="92">
        <f t="shared" ref="B57" si="0">B61/$B$34*1000</f>
        <v>52.235212390173508</v>
      </c>
      <c r="C57" s="40" t="s">
        <v>91</v>
      </c>
      <c r="D57" s="151" t="s">
        <v>155</v>
      </c>
      <c r="E57" s="151"/>
      <c r="F57" s="151"/>
      <c r="G57" s="151"/>
      <c r="H57" s="151"/>
      <c r="I57" s="151"/>
      <c r="J57" s="152"/>
      <c r="K57" s="40"/>
      <c r="L57" s="40"/>
      <c r="M57" s="40"/>
      <c r="N57" s="40"/>
      <c r="O57" s="40"/>
      <c r="P57" s="40"/>
      <c r="Q57" s="40"/>
      <c r="R57" s="40"/>
    </row>
    <row r="58" spans="1:18" s="72" customFormat="1" ht="14.25" customHeight="1" x14ac:dyDescent="0.3">
      <c r="A58" s="79"/>
      <c r="B58" s="92"/>
      <c r="C58" s="40"/>
      <c r="D58" s="43"/>
      <c r="E58" s="43"/>
      <c r="F58" s="43"/>
      <c r="G58" s="43"/>
      <c r="H58" s="43"/>
      <c r="I58" s="43"/>
      <c r="J58" s="87"/>
      <c r="K58" s="40"/>
      <c r="L58" s="40"/>
      <c r="M58" s="40"/>
      <c r="N58" s="40"/>
      <c r="O58" s="40"/>
      <c r="P58" s="40"/>
      <c r="Q58" s="40"/>
      <c r="R58" s="40"/>
    </row>
    <row r="59" spans="1:18" s="72" customFormat="1" ht="14.25" customHeight="1" x14ac:dyDescent="0.3">
      <c r="A59" s="79" t="s">
        <v>154</v>
      </c>
      <c r="B59" s="93">
        <f>2/3*'Algemene parameters'!B42/'Algemene parameters'!B14</f>
        <v>2.6686686859918506E-2</v>
      </c>
      <c r="C59" s="40" t="s">
        <v>92</v>
      </c>
      <c r="D59" s="43"/>
      <c r="E59" s="43"/>
      <c r="F59" s="43"/>
      <c r="G59" s="43"/>
      <c r="H59" s="43"/>
      <c r="I59" s="43"/>
      <c r="J59" s="87"/>
      <c r="K59" s="40"/>
      <c r="L59" s="40"/>
      <c r="M59" s="40"/>
      <c r="N59" s="40"/>
      <c r="O59" s="40"/>
      <c r="P59" s="40"/>
      <c r="Q59" s="40"/>
      <c r="R59" s="40"/>
    </row>
    <row r="60" spans="1:18" s="72" customFormat="1" ht="14.25" customHeight="1" x14ac:dyDescent="0.3">
      <c r="A60" s="79" t="s">
        <v>156</v>
      </c>
      <c r="B60" s="93">
        <f>2/3*'Algemene parameters'!B44*'Algemene parameters'!B13/'Algemene parameters'!B14/1000</f>
        <v>2.1213679999999999E-2</v>
      </c>
      <c r="C60" s="40" t="s">
        <v>92</v>
      </c>
      <c r="D60" s="43"/>
      <c r="E60" s="43"/>
      <c r="F60" s="43"/>
      <c r="G60" s="43"/>
      <c r="H60" s="43"/>
      <c r="I60" s="43"/>
      <c r="J60" s="87"/>
      <c r="K60" s="40"/>
      <c r="L60" s="40"/>
      <c r="M60" s="40"/>
      <c r="N60" s="40"/>
      <c r="O60" s="40"/>
      <c r="P60" s="40"/>
      <c r="Q60" s="40"/>
      <c r="R60" s="40"/>
    </row>
    <row r="61" spans="1:18" s="72" customFormat="1" ht="14.25" customHeight="1" x14ac:dyDescent="0.3">
      <c r="A61" s="79" t="s">
        <v>157</v>
      </c>
      <c r="B61" s="93">
        <f>2/3*'Algemene parameters'!B45*'Algemene parameters'!B13/'Algemene parameters'!B14/1000</f>
        <v>8.9502239999999979E-3</v>
      </c>
      <c r="C61" s="40" t="s">
        <v>92</v>
      </c>
      <c r="D61" s="43"/>
      <c r="E61" s="43"/>
      <c r="F61" s="43"/>
      <c r="G61" s="43"/>
      <c r="H61" s="43"/>
      <c r="I61" s="43"/>
      <c r="J61" s="87"/>
      <c r="K61" s="40"/>
      <c r="L61" s="40"/>
      <c r="M61" s="40"/>
      <c r="N61" s="40"/>
      <c r="O61" s="40"/>
      <c r="P61" s="40"/>
      <c r="Q61" s="40"/>
      <c r="R61" s="40"/>
    </row>
    <row r="62" spans="1:18" s="72" customFormat="1" ht="14.25" customHeight="1" x14ac:dyDescent="0.3">
      <c r="A62" s="79"/>
      <c r="B62" s="92"/>
      <c r="C62" s="40"/>
      <c r="D62" s="94"/>
      <c r="I62" s="40"/>
      <c r="J62" s="87"/>
      <c r="K62" s="40"/>
      <c r="L62" s="40"/>
      <c r="M62" s="40"/>
      <c r="N62" s="40"/>
      <c r="O62" s="40"/>
      <c r="P62" s="40"/>
      <c r="Q62" s="40"/>
      <c r="R62" s="40"/>
    </row>
    <row r="63" spans="1:18" s="72" customFormat="1" ht="14.25" customHeight="1" x14ac:dyDescent="0.3">
      <c r="A63" s="95" t="s">
        <v>158</v>
      </c>
      <c r="B63" s="97">
        <f>B59+B60</f>
        <v>4.7900366859918504E-2</v>
      </c>
      <c r="C63" s="40" t="s">
        <v>92</v>
      </c>
      <c r="D63" s="76"/>
      <c r="E63" s="40"/>
      <c r="F63" s="40"/>
      <c r="G63" s="40"/>
      <c r="H63" s="40"/>
      <c r="I63" s="40"/>
      <c r="J63" s="89"/>
      <c r="K63" s="40"/>
      <c r="L63" s="40"/>
      <c r="M63" s="40"/>
      <c r="N63" s="40"/>
      <c r="O63" s="40"/>
      <c r="P63" s="40"/>
      <c r="Q63" s="40"/>
      <c r="R63" s="40"/>
    </row>
    <row r="64" spans="1:18" s="72" customFormat="1" ht="14.25" customHeight="1" x14ac:dyDescent="0.3">
      <c r="A64" s="95" t="s">
        <v>159</v>
      </c>
      <c r="B64" s="97">
        <f>B59+B61</f>
        <v>3.5636910859918505E-2</v>
      </c>
      <c r="C64" s="40" t="s">
        <v>92</v>
      </c>
      <c r="D64" s="76"/>
      <c r="E64" s="40"/>
      <c r="F64" s="40"/>
      <c r="G64" s="40"/>
      <c r="H64" s="40"/>
      <c r="I64" s="40"/>
      <c r="J64" s="89"/>
      <c r="K64" s="40"/>
      <c r="L64" s="40"/>
      <c r="M64" s="40"/>
      <c r="N64" s="40"/>
      <c r="O64" s="40"/>
      <c r="P64" s="40"/>
      <c r="Q64" s="40"/>
      <c r="R64" s="40"/>
    </row>
    <row r="65" spans="1:18" s="72" customFormat="1" ht="14.25" customHeight="1" x14ac:dyDescent="0.3">
      <c r="A65" s="95" t="s">
        <v>160</v>
      </c>
      <c r="B65" s="97">
        <f>B59</f>
        <v>2.6686686859918506E-2</v>
      </c>
      <c r="C65" s="40" t="s">
        <v>92</v>
      </c>
      <c r="D65" s="76"/>
      <c r="E65" s="40"/>
      <c r="F65" s="40"/>
      <c r="G65" s="40"/>
      <c r="H65" s="40"/>
      <c r="I65" s="40"/>
      <c r="J65" s="89"/>
      <c r="K65" s="40"/>
      <c r="L65" s="40"/>
      <c r="M65" s="40"/>
      <c r="N65" s="40"/>
      <c r="O65" s="40"/>
      <c r="P65" s="40"/>
      <c r="Q65" s="40"/>
      <c r="R65" s="40"/>
    </row>
    <row r="66" spans="1:18" s="142" customFormat="1" x14ac:dyDescent="0.2">
      <c r="A66" s="140"/>
      <c r="B66" s="141"/>
      <c r="C66" s="15"/>
      <c r="D66" s="140"/>
      <c r="E66" s="140"/>
      <c r="F66" s="140"/>
      <c r="G66" s="140"/>
      <c r="H66" s="140"/>
      <c r="I66" s="140"/>
      <c r="J66" s="140"/>
      <c r="K66" s="140"/>
      <c r="L66" s="140"/>
      <c r="M66" s="140"/>
      <c r="N66" s="140"/>
      <c r="O66" s="140"/>
      <c r="P66" s="140"/>
      <c r="Q66" s="140"/>
      <c r="R66" s="140"/>
    </row>
    <row r="67" spans="1:18" s="72" customFormat="1" ht="14.25" customHeight="1" x14ac:dyDescent="0.3">
      <c r="A67" s="95"/>
      <c r="B67" s="92"/>
      <c r="C67" s="40"/>
      <c r="D67" s="76"/>
      <c r="E67" s="40"/>
      <c r="F67" s="40"/>
      <c r="G67" s="40"/>
      <c r="H67" s="40"/>
      <c r="I67" s="40"/>
      <c r="J67" s="89"/>
      <c r="K67" s="40"/>
      <c r="L67" s="40"/>
      <c r="M67" s="40"/>
      <c r="N67" s="40"/>
      <c r="O67" s="40"/>
      <c r="P67" s="40"/>
      <c r="Q67" s="40"/>
      <c r="R67" s="40"/>
    </row>
    <row r="68" spans="1:18" s="72" customFormat="1" ht="14.25" customHeight="1" x14ac:dyDescent="0.3">
      <c r="A68" s="95"/>
      <c r="B68" s="92"/>
      <c r="C68" s="40"/>
      <c r="D68" s="76"/>
      <c r="E68" s="40"/>
      <c r="F68" s="40"/>
      <c r="G68" s="40"/>
      <c r="H68" s="40"/>
      <c r="I68" s="40"/>
      <c r="J68" s="89"/>
      <c r="K68" s="40"/>
      <c r="L68" s="40"/>
      <c r="M68" s="40"/>
      <c r="N68" s="40"/>
      <c r="O68" s="40"/>
      <c r="P68" s="40"/>
      <c r="Q68" s="40"/>
      <c r="R68" s="40"/>
    </row>
    <row r="69" spans="1:18" s="72" customFormat="1" ht="14.25" customHeight="1" x14ac:dyDescent="0.3">
      <c r="A69" s="40"/>
      <c r="B69" s="74"/>
      <c r="C69" s="40"/>
      <c r="D69" s="40"/>
      <c r="E69" s="40"/>
      <c r="F69" s="40"/>
      <c r="G69" s="40"/>
      <c r="H69" s="40"/>
      <c r="I69" s="40"/>
      <c r="J69" s="89"/>
      <c r="K69" s="40"/>
      <c r="L69" s="40"/>
      <c r="M69" s="40"/>
      <c r="N69" s="40"/>
      <c r="O69" s="40"/>
      <c r="P69" s="40"/>
      <c r="Q69" s="40"/>
      <c r="R69" s="40"/>
    </row>
    <row r="70" spans="1:18" s="48" customFormat="1" ht="14.25" customHeight="1" x14ac:dyDescent="0.3">
      <c r="A70" s="46" t="s">
        <v>161</v>
      </c>
      <c r="B70" s="46"/>
      <c r="C70" s="46"/>
      <c r="D70" s="46"/>
      <c r="E70" s="46"/>
      <c r="F70" s="46"/>
      <c r="G70" s="46"/>
      <c r="H70" s="46"/>
      <c r="I70" s="46"/>
      <c r="J70" s="46"/>
      <c r="K70" s="46"/>
    </row>
    <row r="71" spans="1:18" s="95" customFormat="1" ht="14.25" customHeight="1" x14ac:dyDescent="0.3">
      <c r="A71" s="166" t="s">
        <v>1</v>
      </c>
      <c r="B71" s="167"/>
      <c r="C71" s="167"/>
      <c r="D71" s="167"/>
      <c r="E71" s="167"/>
      <c r="F71" s="167"/>
      <c r="G71" s="167"/>
      <c r="H71" s="167"/>
      <c r="I71" s="167"/>
      <c r="J71" s="167"/>
      <c r="K71" s="167"/>
      <c r="L71" s="167"/>
      <c r="M71" s="167"/>
      <c r="N71" s="167"/>
      <c r="O71" s="169"/>
      <c r="P71" s="169"/>
      <c r="Q71" s="169"/>
      <c r="R71" s="169"/>
    </row>
    <row r="72" spans="1:18" s="14" customFormat="1" ht="14.25" customHeight="1" x14ac:dyDescent="0.3">
      <c r="A72" s="11"/>
      <c r="B72" s="12"/>
      <c r="C72" s="11"/>
      <c r="D72" s="11"/>
      <c r="E72" s="11"/>
      <c r="F72" s="11"/>
      <c r="G72" s="11"/>
      <c r="H72" s="11"/>
      <c r="I72" s="11"/>
      <c r="J72" s="11"/>
      <c r="K72" s="11"/>
      <c r="L72" s="11"/>
      <c r="M72" s="11"/>
      <c r="N72" s="11"/>
      <c r="O72" s="11"/>
      <c r="P72" s="11"/>
      <c r="Q72" s="11"/>
      <c r="R72" s="11"/>
    </row>
    <row r="73" spans="1:18" s="119" customFormat="1" ht="14.25" customHeight="1" x14ac:dyDescent="0.3">
      <c r="A73" s="120" t="s">
        <v>162</v>
      </c>
      <c r="B73" s="120"/>
      <c r="C73" s="121">
        <v>0</v>
      </c>
      <c r="D73" s="121">
        <v>1</v>
      </c>
      <c r="E73" s="121">
        <v>2</v>
      </c>
      <c r="F73" s="121">
        <v>3</v>
      </c>
      <c r="G73" s="121">
        <v>4</v>
      </c>
      <c r="H73" s="121">
        <v>5</v>
      </c>
      <c r="I73" s="121">
        <v>6</v>
      </c>
      <c r="J73" s="121">
        <v>7</v>
      </c>
      <c r="K73" s="121">
        <v>8</v>
      </c>
      <c r="L73" s="121">
        <v>9</v>
      </c>
      <c r="M73" s="121">
        <v>10</v>
      </c>
      <c r="N73" s="121">
        <v>11</v>
      </c>
      <c r="O73" s="121">
        <v>12</v>
      </c>
      <c r="P73" s="121">
        <v>13</v>
      </c>
      <c r="Q73" s="121">
        <v>14</v>
      </c>
      <c r="R73" s="121">
        <v>15</v>
      </c>
    </row>
    <row r="74" spans="1:18" s="133" customFormat="1" ht="14.25" customHeight="1" x14ac:dyDescent="0.3">
      <c r="A74" s="154" t="s">
        <v>163</v>
      </c>
      <c r="B74" s="123"/>
      <c r="C74" s="124"/>
      <c r="D74" s="125">
        <f t="shared" ref="D74:R74" si="1">POWER(1+$B$39,D73-$D$73)</f>
        <v>1</v>
      </c>
      <c r="E74" s="125">
        <f t="shared" si="1"/>
        <v>1.02</v>
      </c>
      <c r="F74" s="125">
        <f t="shared" si="1"/>
        <v>1.0404</v>
      </c>
      <c r="G74" s="125">
        <f t="shared" si="1"/>
        <v>1.0612079999999999</v>
      </c>
      <c r="H74" s="125">
        <f t="shared" si="1"/>
        <v>1.08243216</v>
      </c>
      <c r="I74" s="125">
        <f t="shared" si="1"/>
        <v>1.1040808032</v>
      </c>
      <c r="J74" s="125">
        <f t="shared" si="1"/>
        <v>1.1261624192640001</v>
      </c>
      <c r="K74" s="125">
        <f t="shared" si="1"/>
        <v>1.1486856676492798</v>
      </c>
      <c r="L74" s="125">
        <f t="shared" si="1"/>
        <v>1.1716593810022655</v>
      </c>
      <c r="M74" s="125">
        <f t="shared" si="1"/>
        <v>1.1950925686223108</v>
      </c>
      <c r="N74" s="125">
        <f t="shared" si="1"/>
        <v>1.2189944199947571</v>
      </c>
      <c r="O74" s="125">
        <f t="shared" si="1"/>
        <v>1.243374308394652</v>
      </c>
      <c r="P74" s="125">
        <f t="shared" si="1"/>
        <v>1.2682417945625453</v>
      </c>
      <c r="Q74" s="125">
        <f t="shared" si="1"/>
        <v>1.2936066304537961</v>
      </c>
      <c r="R74" s="125">
        <f t="shared" si="1"/>
        <v>1.3194787630628722</v>
      </c>
    </row>
    <row r="75" spans="1:18" s="133" customFormat="1" ht="14.25" customHeight="1" x14ac:dyDescent="0.3">
      <c r="A75" s="122"/>
      <c r="B75" s="123"/>
      <c r="C75" s="124"/>
      <c r="D75" s="125"/>
      <c r="E75" s="125"/>
      <c r="F75" s="125"/>
      <c r="G75" s="125"/>
      <c r="H75" s="125"/>
      <c r="I75" s="125"/>
      <c r="J75" s="125"/>
      <c r="K75" s="125"/>
      <c r="L75" s="125"/>
      <c r="M75" s="125"/>
      <c r="N75" s="125"/>
      <c r="O75" s="125"/>
      <c r="P75" s="125"/>
      <c r="Q75" s="125"/>
      <c r="R75" s="125"/>
    </row>
    <row r="76" spans="1:18" s="133" customFormat="1" ht="14.25" customHeight="1" x14ac:dyDescent="0.3">
      <c r="A76" s="126" t="s">
        <v>116</v>
      </c>
      <c r="B76" s="127"/>
      <c r="C76" s="127"/>
      <c r="D76" s="127"/>
      <c r="E76" s="127"/>
      <c r="F76" s="127"/>
      <c r="G76" s="127"/>
      <c r="H76" s="127"/>
      <c r="I76" s="127"/>
      <c r="J76" s="127"/>
      <c r="K76" s="127"/>
      <c r="L76" s="127"/>
      <c r="M76" s="127"/>
      <c r="N76" s="127"/>
      <c r="O76" s="127"/>
      <c r="P76" s="127"/>
      <c r="Q76" s="127"/>
      <c r="R76" s="127"/>
    </row>
    <row r="77" spans="1:18" s="133" customFormat="1" ht="14.25" customHeight="1" x14ac:dyDescent="0.3">
      <c r="A77" s="124" t="s">
        <v>164</v>
      </c>
      <c r="B77" s="123"/>
      <c r="C77" s="128">
        <f>-B22</f>
        <v>-5088600</v>
      </c>
      <c r="D77" s="124"/>
      <c r="E77" s="124"/>
      <c r="F77" s="124"/>
      <c r="G77" s="124"/>
      <c r="H77" s="124"/>
      <c r="I77" s="124"/>
      <c r="J77" s="124"/>
      <c r="K77" s="124"/>
      <c r="L77" s="124"/>
      <c r="M77" s="124"/>
      <c r="N77" s="128"/>
      <c r="O77" s="128"/>
      <c r="P77" s="124"/>
      <c r="Q77" s="124"/>
      <c r="R77" s="124"/>
    </row>
    <row r="78" spans="1:18" s="133" customFormat="1" ht="14.25" customHeight="1" x14ac:dyDescent="0.3">
      <c r="A78" s="124" t="s">
        <v>165</v>
      </c>
      <c r="B78" s="123"/>
      <c r="C78" s="128"/>
      <c r="D78" s="129">
        <f>-$B$25*D74</f>
        <v>-1047768.7844865599</v>
      </c>
      <c r="E78" s="129">
        <f>-$B$25*E74</f>
        <v>-1068724.1601762911</v>
      </c>
      <c r="F78" s="129">
        <f t="shared" ref="F78:M78" si="2">-$B$25*F74</f>
        <v>-1090098.643379817</v>
      </c>
      <c r="G78" s="129">
        <f t="shared" si="2"/>
        <v>-1111900.6162474132</v>
      </c>
      <c r="H78" s="129">
        <f t="shared" si="2"/>
        <v>-1134138.6285723615</v>
      </c>
      <c r="I78" s="129">
        <f t="shared" si="2"/>
        <v>-1156821.4011438088</v>
      </c>
      <c r="J78" s="129">
        <f t="shared" si="2"/>
        <v>-1179957.829166685</v>
      </c>
      <c r="K78" s="129">
        <f t="shared" si="2"/>
        <v>-1203556.9857500184</v>
      </c>
      <c r="L78" s="129">
        <f t="shared" si="2"/>
        <v>-1227628.1254650189</v>
      </c>
      <c r="M78" s="129">
        <f t="shared" si="2"/>
        <v>-1252180.6879743193</v>
      </c>
      <c r="N78" s="129">
        <f>IF($B$37&gt;=N$73,-$B$25*N$74,0)</f>
        <v>0</v>
      </c>
      <c r="O78" s="129">
        <f>IF($B$37&gt;=O$73,-$B$25*O$74,0)</f>
        <v>0</v>
      </c>
      <c r="P78" s="129">
        <f>IF($B$37&gt;=P$73,-$B$25*P$74,0)</f>
        <v>0</v>
      </c>
      <c r="Q78" s="129">
        <f>IF($B$37&gt;=Q$73,-$B$25*Q$74,0)</f>
        <v>0</v>
      </c>
      <c r="R78" s="129">
        <f>IF($B$37&gt;=R$73,-$B$25*R$74,0)</f>
        <v>0</v>
      </c>
    </row>
    <row r="79" spans="1:18" s="133" customFormat="1" ht="14.25" customHeight="1" x14ac:dyDescent="0.3">
      <c r="A79" s="124" t="s">
        <v>166</v>
      </c>
      <c r="B79" s="123"/>
      <c r="C79" s="124"/>
      <c r="D79" s="128">
        <f>-($B$28*$B$18*1000)*D74</f>
        <v>-2819244.80639076</v>
      </c>
      <c r="E79" s="128">
        <f t="shared" ref="E79:M79" si="3">-($B$28*$B$18*1000)*E74</f>
        <v>-2875629.7025185754</v>
      </c>
      <c r="F79" s="128">
        <f t="shared" si="3"/>
        <v>-2933142.2965689469</v>
      </c>
      <c r="G79" s="128">
        <f t="shared" si="3"/>
        <v>-2991805.1425003256</v>
      </c>
      <c r="H79" s="128">
        <f t="shared" si="3"/>
        <v>-3051641.245350332</v>
      </c>
      <c r="I79" s="128">
        <f t="shared" si="3"/>
        <v>-3112674.0702573387</v>
      </c>
      <c r="J79" s="128">
        <f t="shared" si="3"/>
        <v>-3174927.5516624856</v>
      </c>
      <c r="K79" s="128">
        <f t="shared" si="3"/>
        <v>-3238426.1026957347</v>
      </c>
      <c r="L79" s="128">
        <f t="shared" si="3"/>
        <v>-3303194.6247496498</v>
      </c>
      <c r="M79" s="128">
        <f t="shared" si="3"/>
        <v>-3369258.5172446426</v>
      </c>
      <c r="N79" s="128">
        <f>IF($B$37&gt;=N$73,-($B$28*$B$18*1000)*N74,0)</f>
        <v>0</v>
      </c>
      <c r="O79" s="128">
        <f>IF($B$37&gt;=O$73,-($B$28*$B$18*1000)*O74,0)</f>
        <v>0</v>
      </c>
      <c r="P79" s="128">
        <f>IF($B$37&gt;=P$73,-($B$28*$B$18*1000)*P74,0)</f>
        <v>0</v>
      </c>
      <c r="Q79" s="128">
        <f>IF($B$37&gt;=Q$73,-($B$28*$B$18*1000)*Q74,0)</f>
        <v>0</v>
      </c>
      <c r="R79" s="128">
        <f>IF($B$37&gt;=R$73,-($B$28*$B$18*1000)*R74,0)</f>
        <v>0</v>
      </c>
    </row>
    <row r="80" spans="1:18" s="133" customFormat="1" ht="14.25" customHeight="1" x14ac:dyDescent="0.3">
      <c r="A80" s="126" t="s">
        <v>167</v>
      </c>
      <c r="B80" s="126"/>
      <c r="C80" s="126"/>
      <c r="D80" s="126"/>
      <c r="E80" s="126"/>
      <c r="F80" s="126"/>
      <c r="G80" s="126"/>
      <c r="H80" s="126"/>
      <c r="I80" s="126"/>
      <c r="J80" s="126"/>
      <c r="K80" s="126"/>
      <c r="L80" s="126"/>
      <c r="M80" s="126"/>
      <c r="N80" s="126"/>
      <c r="O80" s="126"/>
      <c r="P80" s="126"/>
      <c r="Q80" s="126"/>
      <c r="R80" s="126"/>
    </row>
    <row r="81" spans="1:18" s="133" customFormat="1" ht="14.25" customHeight="1" x14ac:dyDescent="0.3">
      <c r="A81" s="124" t="s">
        <v>168</v>
      </c>
      <c r="B81" s="123"/>
      <c r="C81" s="124"/>
      <c r="D81" s="128">
        <f>$C$77/$B$38</f>
        <v>-508860</v>
      </c>
      <c r="E81" s="128">
        <f t="shared" ref="E81:M81" si="4">$C$77/$B$38</f>
        <v>-508860</v>
      </c>
      <c r="F81" s="128">
        <f t="shared" si="4"/>
        <v>-508860</v>
      </c>
      <c r="G81" s="128">
        <f t="shared" si="4"/>
        <v>-508860</v>
      </c>
      <c r="H81" s="128">
        <f t="shared" si="4"/>
        <v>-508860</v>
      </c>
      <c r="I81" s="128">
        <f t="shared" si="4"/>
        <v>-508860</v>
      </c>
      <c r="J81" s="128">
        <f t="shared" si="4"/>
        <v>-508860</v>
      </c>
      <c r="K81" s="128">
        <f t="shared" si="4"/>
        <v>-508860</v>
      </c>
      <c r="L81" s="128">
        <f t="shared" si="4"/>
        <v>-508860</v>
      </c>
      <c r="M81" s="128">
        <f t="shared" si="4"/>
        <v>-508860</v>
      </c>
      <c r="N81" s="128"/>
      <c r="O81" s="128"/>
      <c r="P81" s="128"/>
      <c r="Q81" s="128"/>
      <c r="R81" s="128"/>
    </row>
    <row r="82" spans="1:18" s="133" customFormat="1" ht="14.25" customHeight="1" x14ac:dyDescent="0.3">
      <c r="A82" s="130" t="s">
        <v>169</v>
      </c>
      <c r="B82" s="123"/>
      <c r="C82" s="124"/>
      <c r="D82" s="128">
        <f>-IPMT($B$40,D73,$B$38,$B$42*$C$77)</f>
        <v>-170289.99900000001</v>
      </c>
      <c r="E82" s="128">
        <f t="shared" ref="E82:M82" si="5">-IPMT($B$40,E73,$B$38,$B$42*$C$77)</f>
        <v>-157217.98231641093</v>
      </c>
      <c r="F82" s="128">
        <f t="shared" si="5"/>
        <v>-143394.32467351542</v>
      </c>
      <c r="G82" s="128">
        <f t="shared" si="5"/>
        <v>-128775.80671615346</v>
      </c>
      <c r="H82" s="128">
        <f t="shared" si="5"/>
        <v>-113316.72397624316</v>
      </c>
      <c r="I82" s="128">
        <f t="shared" si="5"/>
        <v>-96968.743978787999</v>
      </c>
      <c r="J82" s="128">
        <f t="shared" si="5"/>
        <v>-79680.755131479193</v>
      </c>
      <c r="K82" s="128">
        <f t="shared" si="5"/>
        <v>-61398.706925450133</v>
      </c>
      <c r="L82" s="128">
        <f t="shared" si="5"/>
        <v>-42065.440947574389</v>
      </c>
      <c r="M82" s="128">
        <f t="shared" si="5"/>
        <v>-21620.512175970798</v>
      </c>
      <c r="N82" s="128"/>
      <c r="O82" s="128"/>
      <c r="P82" s="128"/>
      <c r="Q82" s="128"/>
      <c r="R82" s="128"/>
    </row>
    <row r="83" spans="1:18" s="133" customFormat="1" ht="14.25" customHeight="1" x14ac:dyDescent="0.3">
      <c r="A83" s="130" t="s">
        <v>170</v>
      </c>
      <c r="B83" s="123"/>
      <c r="C83" s="124"/>
      <c r="D83" s="128">
        <f>-PPMT($B$40,D73,$B$38,$B$42*$C$77)</f>
        <v>-227339.42058415862</v>
      </c>
      <c r="E83" s="128">
        <f t="shared" ref="E83:M83" si="6">-PPMT($B$40,E73,$B$38,$B$42*$C$77)</f>
        <v>-240411.43726774771</v>
      </c>
      <c r="F83" s="128">
        <f t="shared" si="6"/>
        <v>-254235.09491064318</v>
      </c>
      <c r="G83" s="128">
        <f t="shared" si="6"/>
        <v>-268853.61286800518</v>
      </c>
      <c r="H83" s="128">
        <f t="shared" si="6"/>
        <v>-284312.69560791546</v>
      </c>
      <c r="I83" s="128">
        <f t="shared" si="6"/>
        <v>-300660.6756053706</v>
      </c>
      <c r="J83" s="128">
        <f t="shared" si="6"/>
        <v>-317948.66445267946</v>
      </c>
      <c r="K83" s="128">
        <f t="shared" si="6"/>
        <v>-336230.71265870851</v>
      </c>
      <c r="L83" s="128">
        <f t="shared" si="6"/>
        <v>-355563.97863658424</v>
      </c>
      <c r="M83" s="128">
        <f t="shared" si="6"/>
        <v>-376008.90740818786</v>
      </c>
      <c r="N83" s="128"/>
      <c r="O83" s="128"/>
      <c r="P83" s="128"/>
      <c r="Q83" s="128"/>
      <c r="R83" s="128"/>
    </row>
    <row r="84" spans="1:18" s="134" customFormat="1" ht="14.25" customHeight="1" x14ac:dyDescent="0.3">
      <c r="A84" s="124" t="s">
        <v>171</v>
      </c>
      <c r="B84" s="131"/>
      <c r="C84" s="122"/>
      <c r="D84" s="128">
        <f>SUM(D82:D83)</f>
        <v>-397629.41958415863</v>
      </c>
      <c r="E84" s="128">
        <f t="shared" ref="E84:M84" si="7">SUM(E82:E83)</f>
        <v>-397629.41958415863</v>
      </c>
      <c r="F84" s="128">
        <f>SUM(F82:F83)</f>
        <v>-397629.41958415858</v>
      </c>
      <c r="G84" s="128">
        <f t="shared" si="7"/>
        <v>-397629.41958415863</v>
      </c>
      <c r="H84" s="128">
        <f t="shared" si="7"/>
        <v>-397629.41958415863</v>
      </c>
      <c r="I84" s="128">
        <f t="shared" si="7"/>
        <v>-397629.41958415858</v>
      </c>
      <c r="J84" s="128">
        <f t="shared" si="7"/>
        <v>-397629.41958415863</v>
      </c>
      <c r="K84" s="128">
        <f t="shared" si="7"/>
        <v>-397629.41958415863</v>
      </c>
      <c r="L84" s="128">
        <f t="shared" si="7"/>
        <v>-397629.41958415863</v>
      </c>
      <c r="M84" s="128">
        <f t="shared" si="7"/>
        <v>-397629.41958415869</v>
      </c>
      <c r="N84" s="128"/>
      <c r="O84" s="128"/>
      <c r="P84" s="128"/>
      <c r="Q84" s="128"/>
      <c r="R84" s="128"/>
    </row>
    <row r="85" spans="1:18" s="133" customFormat="1" ht="14.25" customHeight="1" x14ac:dyDescent="0.3">
      <c r="A85" s="126" t="s">
        <v>172</v>
      </c>
      <c r="B85" s="126"/>
      <c r="C85" s="126"/>
      <c r="D85" s="126"/>
      <c r="E85" s="126"/>
      <c r="F85" s="126"/>
      <c r="G85" s="126"/>
      <c r="H85" s="126"/>
      <c r="I85" s="126"/>
      <c r="J85" s="126"/>
      <c r="K85" s="126"/>
      <c r="L85" s="126"/>
      <c r="M85" s="126"/>
      <c r="N85" s="126"/>
      <c r="O85" s="126"/>
      <c r="P85" s="126"/>
      <c r="Q85" s="126"/>
      <c r="R85" s="126"/>
    </row>
    <row r="86" spans="1:18" s="133" customFormat="1" ht="14.25" customHeight="1" x14ac:dyDescent="0.3">
      <c r="A86" s="124" t="s">
        <v>173</v>
      </c>
      <c r="B86" s="123"/>
      <c r="C86" s="124"/>
      <c r="D86" s="128">
        <f>D78+D79+D81+D82</f>
        <v>-4546163.5898773195</v>
      </c>
      <c r="E86" s="128">
        <f t="shared" ref="E86:L86" si="8">E78+E79+E81+E82</f>
        <v>-4610431.8450112781</v>
      </c>
      <c r="F86" s="128">
        <f t="shared" si="8"/>
        <v>-4675495.2646222794</v>
      </c>
      <c r="G86" s="128">
        <f t="shared" si="8"/>
        <v>-4741341.5654638922</v>
      </c>
      <c r="H86" s="128">
        <f t="shared" si="8"/>
        <v>-4807956.5978989368</v>
      </c>
      <c r="I86" s="128">
        <f t="shared" si="8"/>
        <v>-4875324.2153799357</v>
      </c>
      <c r="J86" s="128">
        <f t="shared" si="8"/>
        <v>-4943426.1359606497</v>
      </c>
      <c r="K86" s="128">
        <f t="shared" si="8"/>
        <v>-5012241.7953712028</v>
      </c>
      <c r="L86" s="128">
        <f t="shared" si="8"/>
        <v>-5081748.1911622435</v>
      </c>
      <c r="M86" s="128">
        <f>M78+M79+M81+M82</f>
        <v>-5151919.7173949322</v>
      </c>
      <c r="N86" s="128">
        <f>N78+N79+N81+N82</f>
        <v>0</v>
      </c>
      <c r="O86" s="128">
        <f t="shared" ref="O86:P86" si="9">O78+O79+O81+O82</f>
        <v>0</v>
      </c>
      <c r="P86" s="128">
        <f t="shared" si="9"/>
        <v>0</v>
      </c>
      <c r="Q86" s="128">
        <f>Q78+Q79+Q81+Q82</f>
        <v>0</v>
      </c>
      <c r="R86" s="128">
        <f>R78+R79+R81+R82</f>
        <v>0</v>
      </c>
    </row>
    <row r="87" spans="1:18" s="133" customFormat="1" ht="14.25" customHeight="1" x14ac:dyDescent="0.3">
      <c r="A87" s="124" t="s">
        <v>172</v>
      </c>
      <c r="B87" s="123"/>
      <c r="C87" s="124"/>
      <c r="D87" s="128">
        <f>-D86*$B$44</f>
        <v>1136540.8974693299</v>
      </c>
      <c r="E87" s="128">
        <f t="shared" ref="E87:R87" si="10">-E86*$B$44</f>
        <v>1152607.9612528195</v>
      </c>
      <c r="F87" s="128">
        <f t="shared" si="10"/>
        <v>1168873.8161555699</v>
      </c>
      <c r="G87" s="128">
        <f t="shared" si="10"/>
        <v>1185335.391365973</v>
      </c>
      <c r="H87" s="128">
        <f t="shared" si="10"/>
        <v>1201989.1494747342</v>
      </c>
      <c r="I87" s="128">
        <f t="shared" si="10"/>
        <v>1218831.0538449839</v>
      </c>
      <c r="J87" s="128">
        <f t="shared" si="10"/>
        <v>1235856.5339901624</v>
      </c>
      <c r="K87" s="128">
        <f t="shared" si="10"/>
        <v>1253060.4488428007</v>
      </c>
      <c r="L87" s="128">
        <f t="shared" si="10"/>
        <v>1270437.0477905609</v>
      </c>
      <c r="M87" s="128">
        <f t="shared" si="10"/>
        <v>1287979.929348733</v>
      </c>
      <c r="N87" s="128">
        <f t="shared" si="10"/>
        <v>0</v>
      </c>
      <c r="O87" s="128">
        <f t="shared" si="10"/>
        <v>0</v>
      </c>
      <c r="P87" s="128">
        <f t="shared" si="10"/>
        <v>0</v>
      </c>
      <c r="Q87" s="128">
        <f t="shared" si="10"/>
        <v>0</v>
      </c>
      <c r="R87" s="128">
        <f t="shared" si="10"/>
        <v>0</v>
      </c>
    </row>
    <row r="88" spans="1:18" s="133" customFormat="1" ht="14.25" customHeight="1" x14ac:dyDescent="0.3">
      <c r="A88" s="126" t="s">
        <v>174</v>
      </c>
      <c r="B88" s="126"/>
      <c r="C88" s="126"/>
      <c r="D88" s="126"/>
      <c r="E88" s="126"/>
      <c r="F88" s="126"/>
      <c r="G88" s="126"/>
      <c r="H88" s="126"/>
      <c r="I88" s="126"/>
      <c r="J88" s="126"/>
      <c r="K88" s="126"/>
      <c r="L88" s="126"/>
      <c r="M88" s="126"/>
      <c r="N88" s="126"/>
      <c r="O88" s="126"/>
      <c r="P88" s="126"/>
      <c r="Q88" s="126"/>
      <c r="R88" s="126"/>
    </row>
    <row r="89" spans="1:18" s="133" customFormat="1" ht="14.25" customHeight="1" x14ac:dyDescent="0.3">
      <c r="A89" s="124" t="s">
        <v>175</v>
      </c>
      <c r="B89" s="123"/>
      <c r="C89" s="128">
        <f>C77*B43</f>
        <v>-2127034.7999999998</v>
      </c>
      <c r="D89" s="128">
        <f>D78+D79+D84+D87</f>
        <v>-3128102.1129921488</v>
      </c>
      <c r="E89" s="128">
        <f t="shared" ref="E89:L89" si="11">E78+E79+E84+E87</f>
        <v>-3189375.3210262051</v>
      </c>
      <c r="F89" s="128">
        <f t="shared" si="11"/>
        <v>-3251996.5433773529</v>
      </c>
      <c r="G89" s="128">
        <f t="shared" si="11"/>
        <v>-3315999.7869659243</v>
      </c>
      <c r="H89" s="128">
        <f t="shared" si="11"/>
        <v>-3381420.1440321179</v>
      </c>
      <c r="I89" s="128">
        <f t="shared" si="11"/>
        <v>-3448293.8371403227</v>
      </c>
      <c r="J89" s="128">
        <f t="shared" si="11"/>
        <v>-3516658.2664231667</v>
      </c>
      <c r="K89" s="128">
        <f t="shared" si="11"/>
        <v>-3586552.059187111</v>
      </c>
      <c r="L89" s="128">
        <f t="shared" si="11"/>
        <v>-3658015.1220082669</v>
      </c>
      <c r="M89" s="128">
        <f>M78+M79+M84+M87</f>
        <v>-3731088.695454387</v>
      </c>
      <c r="N89" s="128">
        <f t="shared" ref="N89:R89" si="12">N78+N79+N84+N87</f>
        <v>0</v>
      </c>
      <c r="O89" s="128">
        <f t="shared" si="12"/>
        <v>0</v>
      </c>
      <c r="P89" s="128">
        <f t="shared" si="12"/>
        <v>0</v>
      </c>
      <c r="Q89" s="128">
        <f t="shared" si="12"/>
        <v>0</v>
      </c>
      <c r="R89" s="128">
        <f t="shared" si="12"/>
        <v>0</v>
      </c>
    </row>
    <row r="90" spans="1:18" s="133" customFormat="1" ht="14.25" customHeight="1" x14ac:dyDescent="0.3">
      <c r="A90" s="132" t="s">
        <v>176</v>
      </c>
      <c r="B90" s="123"/>
      <c r="C90" s="124"/>
      <c r="D90" s="128">
        <f t="shared" ref="D90:M90" si="13">(1-$B$44)*($B$15*$B$17)</f>
        <v>49005000</v>
      </c>
      <c r="E90" s="128">
        <f t="shared" si="13"/>
        <v>49005000</v>
      </c>
      <c r="F90" s="128">
        <f t="shared" si="13"/>
        <v>49005000</v>
      </c>
      <c r="G90" s="128">
        <f t="shared" si="13"/>
        <v>49005000</v>
      </c>
      <c r="H90" s="128">
        <f t="shared" si="13"/>
        <v>49005000</v>
      </c>
      <c r="I90" s="128">
        <f t="shared" si="13"/>
        <v>49005000</v>
      </c>
      <c r="J90" s="128">
        <f t="shared" si="13"/>
        <v>49005000</v>
      </c>
      <c r="K90" s="128">
        <f t="shared" si="13"/>
        <v>49005000</v>
      </c>
      <c r="L90" s="128">
        <f t="shared" si="13"/>
        <v>49005000</v>
      </c>
      <c r="M90" s="128">
        <f t="shared" si="13"/>
        <v>49005000</v>
      </c>
      <c r="N90" s="128">
        <f>IF($B$37&gt;=N$73,(1-$B$44)*($B$15*$B$17),0)</f>
        <v>0</v>
      </c>
      <c r="O90" s="128">
        <f>IF($B$37&gt;=O$73,(1-$B$44)*($B$15*$B$17),0)</f>
        <v>0</v>
      </c>
      <c r="P90" s="128">
        <f>IF($B$37&gt;=P$73,(1-$B$44)*($B$15*$B$17),0)</f>
        <v>0</v>
      </c>
      <c r="Q90" s="128">
        <f>IF($B$37&gt;=Q$73,(1-$B$44)*($B$15*$B$17),0)</f>
        <v>0</v>
      </c>
      <c r="R90" s="128">
        <f>IF($B$37&gt;=R$73,(1-$B$44)*($B$15*$B$17),0)</f>
        <v>0</v>
      </c>
    </row>
    <row r="91" spans="1:18" s="133" customFormat="1" ht="14.25" customHeight="1" x14ac:dyDescent="0.3">
      <c r="A91" s="124"/>
      <c r="B91" s="123"/>
      <c r="C91" s="124"/>
      <c r="D91" s="128"/>
      <c r="E91" s="128"/>
      <c r="F91" s="128"/>
      <c r="G91" s="128"/>
      <c r="H91" s="128"/>
      <c r="I91" s="128"/>
      <c r="J91" s="128"/>
      <c r="K91" s="128"/>
      <c r="L91" s="128"/>
      <c r="M91" s="128"/>
      <c r="N91" s="128"/>
      <c r="O91" s="128"/>
      <c r="P91" s="124"/>
      <c r="Q91" s="124"/>
      <c r="R91" s="124"/>
    </row>
    <row r="92" spans="1:18" s="133" customFormat="1" ht="14.25" customHeight="1" x14ac:dyDescent="0.3">
      <c r="A92" s="124"/>
      <c r="B92" s="123"/>
      <c r="C92" s="124"/>
      <c r="D92" s="128"/>
      <c r="E92" s="128"/>
      <c r="F92" s="128"/>
      <c r="G92" s="128"/>
      <c r="H92" s="128"/>
      <c r="I92" s="128"/>
      <c r="J92" s="128"/>
      <c r="K92" s="128"/>
      <c r="L92" s="128"/>
      <c r="M92" s="128"/>
      <c r="N92" s="128"/>
      <c r="O92" s="128"/>
      <c r="P92" s="124"/>
      <c r="Q92" s="124"/>
      <c r="R92" s="124"/>
    </row>
    <row r="93" spans="1:18" s="133" customFormat="1" ht="14.25" customHeight="1" x14ac:dyDescent="0.3">
      <c r="A93" s="124"/>
      <c r="B93" s="123"/>
      <c r="C93" s="124"/>
      <c r="D93" s="124"/>
      <c r="E93" s="124"/>
      <c r="F93" s="124"/>
      <c r="G93" s="124"/>
      <c r="H93" s="124"/>
      <c r="I93" s="124"/>
      <c r="J93" s="124"/>
      <c r="K93" s="124"/>
      <c r="L93" s="124"/>
      <c r="M93" s="124"/>
      <c r="N93" s="124"/>
      <c r="O93" s="124"/>
      <c r="P93" s="124"/>
      <c r="Q93" s="124"/>
      <c r="R93" s="124"/>
    </row>
    <row r="94" spans="1:18" s="133" customFormat="1" ht="5.0999999999999996" customHeight="1" x14ac:dyDescent="0.3">
      <c r="B94" s="135"/>
    </row>
    <row r="95" spans="1:18" s="133" customFormat="1" ht="14.25" customHeight="1" x14ac:dyDescent="0.3">
      <c r="B95" s="136" t="s">
        <v>12</v>
      </c>
      <c r="C95" s="137" t="s">
        <v>13</v>
      </c>
    </row>
    <row r="96" spans="1:18" s="133" customFormat="1" ht="14.25" customHeight="1" x14ac:dyDescent="0.3">
      <c r="A96" s="134" t="s">
        <v>177</v>
      </c>
      <c r="B96" s="138">
        <f>ROUND(((-C89-NPV(B41,D89:R89))/NPV(B41,D90:R90)),4)</f>
        <v>7.6200000000000004E-2</v>
      </c>
      <c r="C96" s="133" t="s">
        <v>178</v>
      </c>
    </row>
    <row r="97" spans="1:18" s="133" customFormat="1" ht="14.25" customHeight="1" x14ac:dyDescent="0.3">
      <c r="A97" s="120" t="s">
        <v>77</v>
      </c>
      <c r="B97" s="143">
        <f>B96/B34*1000</f>
        <v>444.7177170237552</v>
      </c>
      <c r="C97" s="120" t="s">
        <v>179</v>
      </c>
    </row>
    <row r="98" spans="1:18" s="133" customFormat="1" ht="5.0999999999999996" customHeight="1" x14ac:dyDescent="0.3">
      <c r="A98" s="134"/>
      <c r="B98" s="139"/>
    </row>
    <row r="99" spans="1:18" s="142" customFormat="1" x14ac:dyDescent="0.2">
      <c r="A99" s="140"/>
      <c r="B99" s="141"/>
      <c r="C99" s="140"/>
      <c r="D99" s="140"/>
      <c r="E99" s="140"/>
      <c r="F99" s="140"/>
      <c r="G99" s="140"/>
      <c r="H99" s="140"/>
      <c r="I99" s="140"/>
      <c r="J99" s="140"/>
      <c r="K99" s="140"/>
      <c r="L99" s="140"/>
      <c r="M99" s="140"/>
      <c r="N99" s="140"/>
      <c r="O99" s="140"/>
      <c r="P99" s="140"/>
      <c r="Q99" s="140"/>
      <c r="R99" s="140"/>
    </row>
    <row r="100" spans="1:18" s="72" customFormat="1" ht="14.25" customHeight="1" x14ac:dyDescent="0.3">
      <c r="A100" s="95" t="s">
        <v>158</v>
      </c>
      <c r="B100" s="96">
        <f>B55+B56</f>
        <v>279.55566659505644</v>
      </c>
      <c r="C100" s="40" t="s">
        <v>91</v>
      </c>
      <c r="D100" s="76"/>
      <c r="E100" s="40"/>
      <c r="F100" s="40"/>
      <c r="G100" s="40"/>
      <c r="H100" s="40"/>
      <c r="I100" s="40"/>
      <c r="J100" s="89"/>
      <c r="K100" s="40"/>
      <c r="L100" s="40"/>
      <c r="M100" s="40"/>
      <c r="N100" s="40"/>
      <c r="O100" s="40"/>
      <c r="P100" s="40"/>
      <c r="Q100" s="40"/>
      <c r="R100" s="40"/>
    </row>
    <row r="101" spans="1:18" s="72" customFormat="1" ht="14.25" customHeight="1" x14ac:dyDescent="0.3">
      <c r="A101" s="95" t="s">
        <v>159</v>
      </c>
      <c r="B101" s="96">
        <f>B55+B57</f>
        <v>207.98380104202133</v>
      </c>
      <c r="C101" s="40" t="s">
        <v>91</v>
      </c>
      <c r="D101" s="76"/>
      <c r="E101" s="40"/>
      <c r="F101" s="40"/>
      <c r="G101" s="40"/>
      <c r="H101" s="40"/>
      <c r="I101" s="40"/>
      <c r="J101" s="89"/>
      <c r="K101" s="40"/>
      <c r="L101" s="40"/>
      <c r="M101" s="40"/>
      <c r="N101" s="40"/>
      <c r="O101" s="40"/>
      <c r="P101" s="40"/>
      <c r="Q101" s="40"/>
      <c r="R101" s="40"/>
    </row>
    <row r="102" spans="1:18" s="72" customFormat="1" ht="14.25" customHeight="1" x14ac:dyDescent="0.3">
      <c r="A102" s="95" t="s">
        <v>160</v>
      </c>
      <c r="B102" s="96">
        <f>B55</f>
        <v>155.74858865184783</v>
      </c>
      <c r="C102" s="40" t="s">
        <v>91</v>
      </c>
      <c r="D102" s="76"/>
      <c r="E102" s="40"/>
      <c r="F102" s="40"/>
      <c r="G102" s="40"/>
      <c r="H102" s="40"/>
      <c r="I102" s="40"/>
      <c r="J102" s="89"/>
      <c r="K102" s="40"/>
      <c r="L102" s="40"/>
      <c r="M102" s="40"/>
      <c r="N102" s="40"/>
      <c r="O102" s="40"/>
      <c r="P102" s="40"/>
      <c r="Q102" s="40"/>
      <c r="R102" s="40"/>
    </row>
    <row r="103" spans="1:18" s="72" customFormat="1" ht="14.25" customHeight="1" x14ac:dyDescent="0.3">
      <c r="A103" s="95"/>
      <c r="B103" s="96"/>
      <c r="C103" s="40"/>
      <c r="D103" s="76"/>
      <c r="E103" s="40"/>
      <c r="F103" s="40"/>
      <c r="G103" s="40"/>
      <c r="H103" s="40"/>
      <c r="I103" s="40"/>
      <c r="J103" s="89"/>
      <c r="K103" s="40"/>
      <c r="L103" s="40"/>
      <c r="M103" s="40"/>
      <c r="N103" s="40"/>
      <c r="O103" s="40"/>
      <c r="P103" s="40"/>
      <c r="Q103" s="40"/>
      <c r="R103" s="40"/>
    </row>
    <row r="104" spans="1:18" s="142" customFormat="1" x14ac:dyDescent="0.2">
      <c r="A104" s="140"/>
      <c r="B104" s="141"/>
      <c r="C104" s="140"/>
      <c r="D104" s="140"/>
      <c r="E104" s="140"/>
      <c r="F104" s="140"/>
      <c r="G104" s="140"/>
      <c r="H104" s="140"/>
      <c r="I104" s="140"/>
      <c r="J104" s="140"/>
      <c r="K104" s="140"/>
      <c r="L104" s="140"/>
      <c r="M104" s="140"/>
      <c r="N104" s="140"/>
      <c r="O104" s="140"/>
      <c r="P104" s="140"/>
      <c r="Q104" s="140"/>
      <c r="R104" s="140"/>
    </row>
    <row r="105" spans="1:18" x14ac:dyDescent="0.2">
      <c r="A105" s="7"/>
      <c r="C105" s="5"/>
      <c r="D105" s="5"/>
      <c r="E105" s="5"/>
      <c r="F105" s="5"/>
      <c r="G105" s="5"/>
      <c r="H105" s="5"/>
      <c r="I105" s="5"/>
      <c r="J105" s="5"/>
    </row>
    <row r="106" spans="1:18" x14ac:dyDescent="0.2">
      <c r="C106" s="5"/>
      <c r="D106" s="5"/>
      <c r="E106" s="5"/>
      <c r="F106" s="5"/>
      <c r="G106" s="5"/>
      <c r="H106" s="5"/>
      <c r="I106" s="5"/>
      <c r="J106" s="5"/>
    </row>
    <row r="107" spans="1:18" x14ac:dyDescent="0.2">
      <c r="C107" s="5"/>
      <c r="D107" s="5"/>
      <c r="E107" s="5"/>
      <c r="F107" s="5"/>
      <c r="G107" s="5"/>
      <c r="H107" s="5"/>
      <c r="I107" s="5"/>
      <c r="J107" s="5"/>
    </row>
    <row r="108" spans="1:18" x14ac:dyDescent="0.2">
      <c r="C108" s="5"/>
      <c r="D108" s="5"/>
      <c r="E108" s="5"/>
      <c r="F108" s="5"/>
      <c r="G108" s="5"/>
      <c r="H108" s="5"/>
      <c r="I108" s="5"/>
      <c r="J108" s="5"/>
    </row>
    <row r="109" spans="1:18" x14ac:dyDescent="0.2">
      <c r="C109" s="5"/>
      <c r="D109" s="5"/>
      <c r="E109" s="5"/>
      <c r="F109" s="5"/>
      <c r="G109" s="5"/>
      <c r="H109" s="5"/>
      <c r="I109" s="5"/>
      <c r="J109" s="5"/>
    </row>
    <row r="110" spans="1:18" x14ac:dyDescent="0.2">
      <c r="C110" s="5"/>
      <c r="D110" s="5"/>
      <c r="E110" s="5"/>
      <c r="F110" s="5"/>
      <c r="G110" s="5"/>
      <c r="H110" s="5"/>
      <c r="I110" s="5"/>
      <c r="J110" s="5"/>
    </row>
    <row r="111" spans="1:18" x14ac:dyDescent="0.2">
      <c r="C111" s="5"/>
      <c r="D111" s="5"/>
      <c r="E111" s="5"/>
      <c r="F111" s="5"/>
      <c r="G111" s="5"/>
      <c r="H111" s="5"/>
      <c r="I111" s="5"/>
      <c r="J111" s="5"/>
    </row>
    <row r="112" spans="1:18" x14ac:dyDescent="0.2">
      <c r="C112" s="5"/>
      <c r="D112" s="5"/>
      <c r="E112" s="5"/>
      <c r="F112" s="5"/>
      <c r="G112" s="5"/>
      <c r="H112" s="5"/>
      <c r="I112" s="5"/>
      <c r="J112" s="5"/>
    </row>
    <row r="113" spans="1:10" x14ac:dyDescent="0.2">
      <c r="C113" s="5"/>
      <c r="D113" s="5"/>
      <c r="E113" s="5"/>
      <c r="F113" s="5"/>
      <c r="G113" s="5"/>
      <c r="H113" s="5"/>
      <c r="I113" s="5"/>
      <c r="J113" s="5"/>
    </row>
    <row r="116" spans="1:10" x14ac:dyDescent="0.2">
      <c r="A116" s="7"/>
      <c r="B116" s="4"/>
    </row>
    <row r="117" spans="1:10" x14ac:dyDescent="0.2">
      <c r="A117" s="7"/>
      <c r="C117" s="5"/>
      <c r="D117" s="5"/>
      <c r="E117" s="5"/>
      <c r="F117" s="5"/>
      <c r="G117" s="5"/>
      <c r="H117" s="5"/>
      <c r="I117" s="5"/>
      <c r="J117" s="5"/>
    </row>
    <row r="118" spans="1:10" x14ac:dyDescent="0.2">
      <c r="C118" s="5"/>
      <c r="D118" s="5"/>
      <c r="E118" s="5"/>
      <c r="F118" s="5"/>
      <c r="G118" s="5"/>
      <c r="H118" s="5"/>
      <c r="I118" s="5"/>
      <c r="J118" s="5"/>
    </row>
    <row r="119" spans="1:10" x14ac:dyDescent="0.2">
      <c r="C119" s="5"/>
      <c r="D119" s="5"/>
      <c r="E119" s="5"/>
      <c r="F119" s="5"/>
      <c r="G119" s="5"/>
      <c r="H119" s="5"/>
      <c r="I119" s="5"/>
      <c r="J119" s="5"/>
    </row>
    <row r="120" spans="1:10" x14ac:dyDescent="0.2">
      <c r="C120" s="5"/>
      <c r="D120" s="5"/>
      <c r="E120" s="5"/>
      <c r="F120" s="5"/>
      <c r="G120" s="5"/>
      <c r="H120" s="5"/>
      <c r="I120" s="5"/>
      <c r="J120" s="5"/>
    </row>
    <row r="121" spans="1:10" x14ac:dyDescent="0.2">
      <c r="C121" s="5"/>
      <c r="D121" s="5"/>
      <c r="E121" s="5"/>
      <c r="F121" s="5"/>
      <c r="G121" s="5"/>
      <c r="H121" s="5"/>
      <c r="I121" s="5"/>
      <c r="J121" s="5"/>
    </row>
    <row r="122" spans="1:10" x14ac:dyDescent="0.2">
      <c r="C122" s="5"/>
      <c r="D122" s="5"/>
      <c r="E122" s="5"/>
      <c r="F122" s="5"/>
      <c r="G122" s="5"/>
      <c r="H122" s="5"/>
      <c r="I122" s="5"/>
      <c r="J122" s="5"/>
    </row>
    <row r="123" spans="1:10" x14ac:dyDescent="0.2">
      <c r="C123" s="5"/>
      <c r="D123" s="5"/>
      <c r="E123" s="5"/>
      <c r="F123" s="5"/>
      <c r="G123" s="5"/>
      <c r="H123" s="5"/>
      <c r="I123" s="5"/>
      <c r="J123" s="5"/>
    </row>
    <row r="124" spans="1:10" x14ac:dyDescent="0.2">
      <c r="C124" s="5"/>
      <c r="D124" s="5"/>
      <c r="E124" s="5"/>
      <c r="F124" s="5"/>
      <c r="G124" s="5"/>
      <c r="H124" s="5"/>
      <c r="I124" s="5"/>
      <c r="J124" s="5"/>
    </row>
    <row r="128" spans="1:10" x14ac:dyDescent="0.2">
      <c r="B128" s="4"/>
    </row>
    <row r="129" spans="1:10" x14ac:dyDescent="0.2">
      <c r="A129" s="7"/>
      <c r="C129" s="9"/>
      <c r="D129" s="9"/>
      <c r="E129" s="9"/>
      <c r="F129" s="9"/>
      <c r="G129" s="9"/>
      <c r="H129" s="9"/>
    </row>
    <row r="130" spans="1:10" x14ac:dyDescent="0.2">
      <c r="C130" s="9"/>
      <c r="D130" s="9"/>
      <c r="E130" s="9"/>
      <c r="F130" s="9"/>
      <c r="G130" s="9"/>
      <c r="H130" s="9"/>
    </row>
    <row r="131" spans="1:10" x14ac:dyDescent="0.2">
      <c r="C131" s="9"/>
      <c r="D131" s="9"/>
      <c r="E131" s="9"/>
      <c r="F131" s="9"/>
      <c r="G131" s="9"/>
      <c r="H131" s="9"/>
    </row>
    <row r="132" spans="1:10" x14ac:dyDescent="0.2">
      <c r="C132" s="9"/>
      <c r="D132" s="9"/>
      <c r="E132" s="9"/>
      <c r="F132" s="9"/>
      <c r="G132" s="9"/>
      <c r="H132" s="9"/>
    </row>
    <row r="133" spans="1:10" x14ac:dyDescent="0.2">
      <c r="C133" s="9"/>
      <c r="D133" s="9"/>
      <c r="E133" s="9"/>
      <c r="F133" s="9"/>
      <c r="G133" s="9"/>
      <c r="H133" s="9"/>
    </row>
    <row r="134" spans="1:10" x14ac:dyDescent="0.2">
      <c r="A134" s="7"/>
      <c r="C134" s="9"/>
      <c r="D134" s="9"/>
      <c r="E134" s="9"/>
      <c r="F134" s="9"/>
      <c r="G134" s="9"/>
      <c r="H134" s="9"/>
      <c r="I134" s="5"/>
      <c r="J134" s="5"/>
    </row>
    <row r="135" spans="1:10" x14ac:dyDescent="0.2">
      <c r="C135" s="9"/>
      <c r="D135" s="9"/>
      <c r="E135" s="9"/>
      <c r="F135" s="9"/>
      <c r="G135" s="9"/>
      <c r="H135" s="9"/>
      <c r="I135" s="5"/>
      <c r="J135" s="5"/>
    </row>
    <row r="136" spans="1:10" x14ac:dyDescent="0.2">
      <c r="C136" s="9"/>
      <c r="D136" s="9"/>
      <c r="E136" s="9"/>
      <c r="F136" s="9"/>
      <c r="G136" s="9"/>
      <c r="H136" s="9"/>
      <c r="I136" s="5"/>
      <c r="J136" s="5"/>
    </row>
    <row r="137" spans="1:10" x14ac:dyDescent="0.2">
      <c r="C137" s="9"/>
      <c r="D137" s="9"/>
      <c r="E137" s="9"/>
      <c r="F137" s="9"/>
      <c r="G137" s="9"/>
      <c r="H137" s="9"/>
      <c r="I137" s="5"/>
      <c r="J137" s="5"/>
    </row>
    <row r="138" spans="1:10" x14ac:dyDescent="0.2">
      <c r="C138" s="9"/>
      <c r="D138" s="9"/>
      <c r="E138" s="9"/>
      <c r="F138" s="9"/>
      <c r="G138" s="9"/>
      <c r="H138" s="9"/>
      <c r="I138" s="5"/>
      <c r="J138" s="5"/>
    </row>
    <row r="139" spans="1:10" x14ac:dyDescent="0.2">
      <c r="C139" s="9"/>
      <c r="D139" s="9"/>
      <c r="E139" s="9"/>
      <c r="F139" s="9"/>
      <c r="G139" s="9"/>
      <c r="H139" s="9"/>
      <c r="I139" s="5"/>
      <c r="J139" s="5"/>
    </row>
    <row r="140" spans="1:10" x14ac:dyDescent="0.2">
      <c r="C140" s="9"/>
      <c r="D140" s="9"/>
      <c r="E140" s="9"/>
      <c r="F140" s="9"/>
      <c r="G140" s="9"/>
      <c r="H140" s="9"/>
      <c r="I140" s="5"/>
      <c r="J140" s="5"/>
    </row>
    <row r="141" spans="1:10" ht="14.4" x14ac:dyDescent="0.3">
      <c r="B141" s="8"/>
      <c r="C141" s="5"/>
      <c r="D141" s="5"/>
      <c r="E141" s="5"/>
      <c r="F141" s="5"/>
      <c r="G141" s="5"/>
      <c r="H141" s="5"/>
      <c r="I141" s="5"/>
      <c r="J141" s="5"/>
    </row>
    <row r="142" spans="1:10" ht="14.4" x14ac:dyDescent="0.3">
      <c r="B142" s="8"/>
      <c r="C142" s="5"/>
      <c r="D142" s="5"/>
      <c r="E142" s="5"/>
      <c r="F142" s="5"/>
      <c r="G142" s="5"/>
      <c r="H142" s="5"/>
      <c r="I142" s="5"/>
      <c r="J142" s="5"/>
    </row>
    <row r="143" spans="1:10" ht="14.4" x14ac:dyDescent="0.3">
      <c r="B143" s="8"/>
    </row>
  </sheetData>
  <sheetProtection algorithmName="SHA-512" hashValue="LuYI73YAOfqOrwi25mU5TZmFxhugYakGEEilHgeWIb3S9DowOk+LmN4gY+ooMY6uTNDlTXAFMbKtgKS2UVD7xQ==" saltValue="x5uPJPUbIxbGQV4+fW11ag==" spinCount="100000" sheet="1" objects="1" scenarios="1"/>
  <mergeCells count="2">
    <mergeCell ref="A10:R10"/>
    <mergeCell ref="A71:R71"/>
  </mergeCells>
  <phoneticPr fontId="8" type="noConversion"/>
  <conditionalFormatting sqref="A14:C14">
    <cfRule type="expression" dxfId="20" priority="5">
      <formula>B14=1</formula>
    </cfRule>
  </conditionalFormatting>
  <conditionalFormatting sqref="A16:D16">
    <cfRule type="expression" dxfId="19" priority="4">
      <formula>$B$16=1</formula>
    </cfRule>
  </conditionalFormatting>
  <conditionalFormatting sqref="P78:R79 P86:R87 P89:R90">
    <cfRule type="cellIs" dxfId="18" priority="3" operator="equal">
      <formula>0</formula>
    </cfRule>
  </conditionalFormatting>
  <dataValidations disablePrompts="1" count="1">
    <dataValidation type="list" allowBlank="1" showInputMessage="1" showErrorMessage="1" sqref="A5:A6" xr:uid="{4F7ACECA-5566-4B05-B41C-A3A3BD07D3B2}">
      <formula1>INDIRECT("tech_param[Technologie]")</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1071D-A607-4C10-887B-ED736C866325}">
  <sheetPr>
    <tabColor rgb="FF009B48"/>
  </sheetPr>
  <dimension ref="A1:R143"/>
  <sheetViews>
    <sheetView showGridLines="0" topLeftCell="A66" workbookViewId="0">
      <selection activeCell="A7" sqref="A7"/>
    </sheetView>
  </sheetViews>
  <sheetFormatPr defaultColWidth="8.88671875" defaultRowHeight="11.4" x14ac:dyDescent="0.2"/>
  <cols>
    <col min="1" max="1" width="55.6640625" style="1" customWidth="1"/>
    <col min="2" max="2" width="18.33203125" style="3" customWidth="1"/>
    <col min="3" max="3" width="15" style="1" customWidth="1"/>
    <col min="4" max="13" width="11.6640625" style="1" customWidth="1"/>
    <col min="14" max="15" width="11.6640625" style="1" hidden="1" customWidth="1"/>
    <col min="16" max="16" width="11.33203125" style="1" hidden="1" customWidth="1"/>
    <col min="17" max="18" width="12" style="1" hidden="1" customWidth="1"/>
    <col min="19" max="16384" width="8.88671875" style="21"/>
  </cols>
  <sheetData>
    <row r="1" spans="1:18" s="10" customFormat="1" ht="14.25" customHeight="1" x14ac:dyDescent="0.2">
      <c r="A1" s="64"/>
      <c r="B1" s="63"/>
      <c r="C1" s="63"/>
      <c r="D1" s="63"/>
      <c r="E1" s="63"/>
      <c r="F1" s="63"/>
      <c r="G1" s="63"/>
      <c r="H1" s="63"/>
      <c r="I1" s="63"/>
      <c r="J1" s="63"/>
      <c r="K1" s="63"/>
      <c r="L1" s="63"/>
      <c r="M1" s="63"/>
      <c r="N1" s="63"/>
      <c r="O1" s="63"/>
      <c r="P1" s="63"/>
      <c r="Q1" s="63"/>
      <c r="R1" s="63"/>
    </row>
    <row r="2" spans="1:18" s="16" customFormat="1" ht="28.2" customHeight="1" x14ac:dyDescent="0.3">
      <c r="A2" s="71" t="s">
        <v>0</v>
      </c>
      <c r="B2" s="63"/>
      <c r="C2" s="63"/>
      <c r="D2" s="63"/>
      <c r="E2" s="63"/>
      <c r="F2" s="63"/>
      <c r="G2" s="63"/>
      <c r="H2" s="63"/>
      <c r="I2" s="63"/>
      <c r="J2" s="63"/>
      <c r="K2" s="63"/>
      <c r="L2" s="63"/>
      <c r="M2" s="63"/>
      <c r="N2" s="63"/>
      <c r="O2" s="63"/>
      <c r="P2" s="63"/>
      <c r="Q2" s="63"/>
      <c r="R2" s="63"/>
    </row>
    <row r="3" spans="1:18" s="10" customFormat="1" ht="14.25" customHeight="1" x14ac:dyDescent="0.2">
      <c r="A3" s="63"/>
      <c r="B3" s="63"/>
      <c r="C3" s="63"/>
      <c r="D3" s="63"/>
      <c r="E3" s="63"/>
      <c r="F3" s="63"/>
      <c r="G3" s="63"/>
      <c r="H3" s="63"/>
      <c r="I3" s="63"/>
      <c r="J3" s="63"/>
      <c r="K3" s="63"/>
      <c r="L3" s="63"/>
      <c r="M3" s="63"/>
      <c r="N3" s="63"/>
      <c r="O3" s="63"/>
      <c r="P3" s="63"/>
      <c r="Q3" s="63"/>
      <c r="R3" s="63"/>
    </row>
    <row r="4" spans="1:18" s="14" customFormat="1" ht="14.25" customHeight="1" x14ac:dyDescent="0.3">
      <c r="A4" s="11"/>
      <c r="B4" s="12"/>
      <c r="C4" s="11"/>
      <c r="D4" s="11"/>
      <c r="E4" s="11"/>
      <c r="F4" s="11"/>
      <c r="G4" s="11"/>
      <c r="H4" s="11"/>
      <c r="I4" s="11"/>
      <c r="J4" s="11"/>
      <c r="K4" s="11"/>
      <c r="L4" s="11"/>
      <c r="M4" s="11"/>
      <c r="N4" s="11"/>
      <c r="O4" s="11"/>
      <c r="P4" s="11"/>
      <c r="Q4" s="11"/>
      <c r="R4" s="11"/>
    </row>
    <row r="5" spans="1:18" s="20" customFormat="1" ht="28.8" x14ac:dyDescent="0.2">
      <c r="A5" s="113" t="s">
        <v>97</v>
      </c>
      <c r="B5" s="112"/>
      <c r="C5" s="112"/>
      <c r="D5" s="112"/>
      <c r="E5" s="112"/>
      <c r="F5" s="112"/>
      <c r="G5" s="112"/>
      <c r="H5" s="112"/>
      <c r="I5" s="112"/>
      <c r="J5" s="112"/>
      <c r="K5" s="112"/>
      <c r="L5" s="112"/>
      <c r="M5" s="112"/>
      <c r="N5" s="112"/>
      <c r="O5" s="112"/>
      <c r="P5" s="112"/>
      <c r="Q5" s="112"/>
      <c r="R5" s="112"/>
    </row>
    <row r="6" spans="1:18" s="95" customFormat="1" ht="5.0999999999999996" customHeight="1" x14ac:dyDescent="0.3">
      <c r="A6" s="114"/>
      <c r="B6" s="98"/>
      <c r="C6" s="98"/>
      <c r="D6" s="98"/>
      <c r="E6" s="98"/>
      <c r="F6" s="98"/>
      <c r="G6" s="98"/>
      <c r="H6" s="98"/>
      <c r="I6" s="98"/>
      <c r="J6" s="98"/>
      <c r="K6" s="98"/>
      <c r="L6" s="98"/>
      <c r="M6" s="98"/>
      <c r="N6" s="98"/>
      <c r="O6" s="98"/>
    </row>
    <row r="7" spans="1:18" s="24" customFormat="1" ht="14.25" customHeight="1" x14ac:dyDescent="0.3">
      <c r="A7" s="22"/>
      <c r="B7" s="23"/>
      <c r="C7" s="17"/>
      <c r="D7" s="17"/>
      <c r="E7" s="17"/>
      <c r="F7" s="17"/>
      <c r="G7" s="17"/>
      <c r="H7" s="17"/>
      <c r="I7" s="17"/>
      <c r="J7" s="17"/>
      <c r="K7" s="17"/>
      <c r="L7" s="17"/>
      <c r="M7" s="17"/>
      <c r="N7" s="17"/>
      <c r="O7" s="17"/>
      <c r="P7" s="17"/>
      <c r="Q7" s="17"/>
      <c r="R7" s="17"/>
    </row>
    <row r="8" spans="1:18" s="14" customFormat="1" ht="14.25" customHeight="1" x14ac:dyDescent="0.3">
      <c r="A8" s="11"/>
      <c r="B8" s="12"/>
      <c r="C8" s="11"/>
      <c r="D8" s="11"/>
      <c r="E8" s="11"/>
      <c r="F8" s="11"/>
      <c r="G8" s="11"/>
      <c r="H8" s="11"/>
      <c r="I8" s="11"/>
      <c r="J8" s="11"/>
      <c r="K8" s="11"/>
      <c r="L8" s="11"/>
      <c r="M8" s="11"/>
      <c r="N8" s="11"/>
      <c r="O8" s="11"/>
      <c r="P8" s="11"/>
      <c r="Q8" s="11"/>
      <c r="R8" s="11"/>
    </row>
    <row r="9" spans="1:18" s="117" customFormat="1" ht="14.25" customHeight="1" x14ac:dyDescent="0.3">
      <c r="A9" s="116" t="s">
        <v>102</v>
      </c>
      <c r="B9" s="116"/>
      <c r="C9" s="116"/>
      <c r="D9" s="116"/>
      <c r="E9" s="116"/>
      <c r="F9" s="116"/>
      <c r="G9" s="116"/>
      <c r="H9" s="116"/>
      <c r="I9" s="116"/>
      <c r="J9" s="116"/>
      <c r="K9" s="116"/>
    </row>
    <row r="10" spans="1:18" s="95" customFormat="1" ht="14.25" customHeight="1" x14ac:dyDescent="0.3">
      <c r="A10" s="166" t="s">
        <v>1</v>
      </c>
      <c r="B10" s="167"/>
      <c r="C10" s="167"/>
      <c r="D10" s="167"/>
      <c r="E10" s="167"/>
      <c r="F10" s="167"/>
      <c r="G10" s="167"/>
      <c r="H10" s="167"/>
      <c r="I10" s="167"/>
      <c r="J10" s="167"/>
      <c r="K10" s="167"/>
      <c r="L10" s="167"/>
      <c r="M10" s="167"/>
      <c r="N10" s="167"/>
      <c r="O10" s="168"/>
      <c r="P10" s="168"/>
      <c r="Q10" s="168"/>
      <c r="R10" s="168"/>
    </row>
    <row r="11" spans="1:18" s="72" customFormat="1" ht="14.25" customHeight="1" x14ac:dyDescent="0.3">
      <c r="A11" s="73"/>
      <c r="B11" s="74"/>
      <c r="C11" s="40"/>
      <c r="D11" s="40"/>
      <c r="E11" s="40"/>
      <c r="F11" s="40"/>
      <c r="G11" s="40"/>
      <c r="H11" s="40"/>
      <c r="I11" s="40"/>
      <c r="J11" s="40"/>
      <c r="K11" s="40"/>
      <c r="L11" s="40"/>
      <c r="M11" s="40"/>
      <c r="N11" s="40"/>
      <c r="O11" s="40"/>
      <c r="P11" s="40"/>
      <c r="Q11" s="40"/>
      <c r="R11" s="40"/>
    </row>
    <row r="12" spans="1:18" s="109" customFormat="1" ht="14.25" customHeight="1" x14ac:dyDescent="0.3">
      <c r="A12" s="108" t="s">
        <v>103</v>
      </c>
      <c r="B12" s="50" t="s">
        <v>12</v>
      </c>
      <c r="C12" s="108" t="s">
        <v>13</v>
      </c>
      <c r="D12" s="108"/>
      <c r="E12" s="54"/>
      <c r="F12" s="54"/>
      <c r="G12" s="54"/>
      <c r="H12" s="54"/>
      <c r="I12" s="54"/>
      <c r="J12" s="54"/>
      <c r="K12" s="54"/>
      <c r="L12" s="54"/>
      <c r="M12" s="54"/>
      <c r="N12" s="54"/>
      <c r="O12" s="54"/>
      <c r="P12" s="54"/>
      <c r="Q12" s="54"/>
      <c r="R12" s="54"/>
    </row>
    <row r="13" spans="1:18" s="72" customFormat="1" ht="14.25" customHeight="1" x14ac:dyDescent="0.3">
      <c r="A13" s="40" t="s">
        <v>65</v>
      </c>
      <c r="B13" s="62">
        <f>VLOOKUP($A$5,tech_param[],3,FALSE)</f>
        <v>800</v>
      </c>
      <c r="C13" s="40" t="s">
        <v>104</v>
      </c>
      <c r="D13" s="76"/>
      <c r="E13" s="40"/>
      <c r="F13" s="40"/>
      <c r="G13" s="40"/>
      <c r="H13" s="40"/>
      <c r="I13" s="40"/>
      <c r="J13" s="40"/>
      <c r="K13" s="40"/>
      <c r="L13" s="40"/>
      <c r="M13" s="40"/>
      <c r="N13" s="40"/>
      <c r="O13" s="40"/>
      <c r="P13" s="40"/>
      <c r="Q13" s="40"/>
      <c r="R13" s="40"/>
    </row>
    <row r="14" spans="1:18" s="72" customFormat="1" ht="14.25" customHeight="1" x14ac:dyDescent="0.3">
      <c r="A14" s="40" t="s">
        <v>105</v>
      </c>
      <c r="B14" s="45">
        <f>VLOOKUP($A$5,tech_param[],4,FALSE)</f>
        <v>1</v>
      </c>
      <c r="C14" s="40" t="s">
        <v>106</v>
      </c>
      <c r="D14" s="76"/>
      <c r="E14" s="40"/>
      <c r="F14" s="40"/>
      <c r="G14" s="40"/>
      <c r="H14" s="40"/>
      <c r="I14" s="40"/>
      <c r="J14" s="40"/>
      <c r="K14" s="40"/>
      <c r="L14" s="40"/>
      <c r="M14" s="40"/>
      <c r="N14" s="40"/>
      <c r="O14" s="40"/>
      <c r="P14" s="40"/>
      <c r="Q14" s="40"/>
      <c r="R14" s="40"/>
    </row>
    <row r="15" spans="1:18" s="72" customFormat="1" ht="14.25" customHeight="1" x14ac:dyDescent="0.3">
      <c r="A15" s="40" t="s">
        <v>107</v>
      </c>
      <c r="B15" s="77">
        <f>B13*B14*B16</f>
        <v>6000</v>
      </c>
      <c r="C15" s="40" t="s">
        <v>108</v>
      </c>
      <c r="D15" s="76"/>
      <c r="E15" s="40"/>
      <c r="F15" s="40"/>
      <c r="G15" s="40"/>
      <c r="H15" s="40"/>
      <c r="I15" s="40"/>
      <c r="J15" s="40"/>
      <c r="K15" s="40"/>
      <c r="L15" s="40"/>
      <c r="M15" s="40"/>
      <c r="N15" s="40"/>
      <c r="O15" s="40"/>
      <c r="P15" s="40"/>
      <c r="Q15" s="40"/>
      <c r="R15" s="40"/>
    </row>
    <row r="16" spans="1:18" s="72" customFormat="1" ht="14.25" customHeight="1" x14ac:dyDescent="0.3">
      <c r="A16" s="40" t="s">
        <v>109</v>
      </c>
      <c r="B16" s="78">
        <f>VLOOKUP($A$5,tech_param[],5,FALSE)</f>
        <v>7.5</v>
      </c>
      <c r="C16" s="79" t="s">
        <v>110</v>
      </c>
      <c r="D16" s="153" t="s">
        <v>111</v>
      </c>
      <c r="E16" s="40"/>
      <c r="F16" s="40"/>
      <c r="G16" s="40"/>
      <c r="H16" s="40"/>
      <c r="I16" s="40"/>
      <c r="J16" s="40"/>
      <c r="K16" s="40"/>
      <c r="L16" s="40"/>
      <c r="M16" s="40"/>
      <c r="N16" s="40"/>
      <c r="O16" s="40"/>
      <c r="P16" s="40"/>
      <c r="Q16" s="40"/>
      <c r="R16" s="40"/>
    </row>
    <row r="17" spans="1:18" s="72" customFormat="1" ht="14.25" customHeight="1" x14ac:dyDescent="0.3">
      <c r="A17" s="40" t="s">
        <v>112</v>
      </c>
      <c r="B17" s="62">
        <f>VLOOKUP($A$5,tech_param[],6,FALSE)</f>
        <v>3000</v>
      </c>
      <c r="C17" s="40" t="s">
        <v>113</v>
      </c>
      <c r="D17" s="76"/>
      <c r="E17" s="40"/>
      <c r="F17" s="40"/>
      <c r="G17" s="40"/>
      <c r="H17" s="40"/>
      <c r="I17" s="40"/>
      <c r="J17" s="40"/>
      <c r="K17" s="40"/>
      <c r="L17" s="40"/>
      <c r="M17" s="40"/>
      <c r="N17" s="40"/>
      <c r="O17" s="40"/>
      <c r="P17" s="40"/>
      <c r="Q17" s="40"/>
      <c r="R17" s="40"/>
    </row>
    <row r="18" spans="1:18" s="72" customFormat="1" ht="14.25" customHeight="1" x14ac:dyDescent="0.3">
      <c r="A18" s="40" t="s">
        <v>114</v>
      </c>
      <c r="B18" s="77">
        <f>(B13*B17)/1000</f>
        <v>2400</v>
      </c>
      <c r="C18" s="40" t="s">
        <v>115</v>
      </c>
      <c r="D18" s="76"/>
      <c r="E18" s="40"/>
      <c r="F18" s="40"/>
      <c r="G18" s="40"/>
      <c r="H18" s="40"/>
      <c r="I18" s="40"/>
      <c r="J18" s="40"/>
      <c r="K18" s="40"/>
      <c r="L18" s="40"/>
      <c r="M18" s="40"/>
      <c r="N18" s="40"/>
      <c r="O18" s="40"/>
      <c r="P18" s="40"/>
      <c r="Q18" s="40"/>
      <c r="R18" s="40"/>
    </row>
    <row r="19" spans="1:18" s="72" customFormat="1" ht="14.25" customHeight="1" x14ac:dyDescent="0.3">
      <c r="A19" s="40"/>
      <c r="B19" s="74"/>
      <c r="C19" s="40"/>
      <c r="D19" s="76"/>
      <c r="E19" s="40"/>
      <c r="F19" s="40"/>
      <c r="G19" s="40"/>
      <c r="H19" s="40"/>
      <c r="I19" s="40"/>
      <c r="J19" s="40"/>
      <c r="K19" s="40"/>
      <c r="L19" s="40"/>
      <c r="M19" s="40"/>
      <c r="N19" s="40"/>
      <c r="O19" s="40"/>
      <c r="P19" s="40"/>
      <c r="Q19" s="40"/>
      <c r="R19" s="40"/>
    </row>
    <row r="20" spans="1:18" s="109" customFormat="1" ht="14.25" customHeight="1" x14ac:dyDescent="0.3">
      <c r="A20" s="108" t="s">
        <v>116</v>
      </c>
      <c r="B20" s="50" t="s">
        <v>12</v>
      </c>
      <c r="C20" s="108" t="s">
        <v>13</v>
      </c>
      <c r="D20" s="76"/>
      <c r="E20" s="40"/>
      <c r="F20" s="54"/>
      <c r="G20" s="54"/>
      <c r="H20" s="54"/>
      <c r="I20" s="54"/>
      <c r="J20" s="54"/>
      <c r="K20" s="54"/>
      <c r="L20" s="54"/>
      <c r="M20" s="54"/>
      <c r="N20" s="54"/>
      <c r="O20" s="54"/>
      <c r="P20" s="54"/>
      <c r="Q20" s="54"/>
      <c r="R20" s="54"/>
    </row>
    <row r="21" spans="1:18" s="72" customFormat="1" ht="14.25" customHeight="1" x14ac:dyDescent="0.3">
      <c r="A21" s="79" t="s">
        <v>117</v>
      </c>
      <c r="B21" s="42">
        <f>VLOOKUP($A$5,tech_param[],7,FALSE)</f>
        <v>1152</v>
      </c>
      <c r="C21" s="40" t="s">
        <v>118</v>
      </c>
      <c r="D21" s="80"/>
      <c r="E21" s="40"/>
      <c r="F21" s="40"/>
      <c r="G21" s="40"/>
      <c r="H21" s="40"/>
      <c r="I21" s="40"/>
      <c r="J21" s="40"/>
      <c r="K21" s="40"/>
      <c r="L21" s="40"/>
      <c r="M21" s="40"/>
      <c r="N21" s="40"/>
      <c r="O21" s="40"/>
      <c r="P21" s="40"/>
      <c r="Q21" s="40"/>
      <c r="R21" s="40"/>
    </row>
    <row r="22" spans="1:18" s="72" customFormat="1" ht="14.25" customHeight="1" x14ac:dyDescent="0.3">
      <c r="A22" s="40" t="s">
        <v>119</v>
      </c>
      <c r="B22" s="77">
        <f>B21*B15</f>
        <v>6912000</v>
      </c>
      <c r="C22" s="40" t="s">
        <v>120</v>
      </c>
      <c r="D22" s="76"/>
      <c r="E22" s="40"/>
      <c r="F22" s="40"/>
      <c r="G22" s="40"/>
      <c r="H22" s="40"/>
      <c r="I22" s="40"/>
      <c r="J22" s="40"/>
      <c r="K22" s="40"/>
      <c r="L22" s="40"/>
      <c r="M22" s="40"/>
      <c r="N22" s="40"/>
      <c r="O22" s="40"/>
      <c r="P22" s="40"/>
      <c r="Q22" s="40"/>
      <c r="R22" s="40"/>
    </row>
    <row r="23" spans="1:18" s="72" customFormat="1" ht="14.25" customHeight="1" x14ac:dyDescent="0.3">
      <c r="A23" s="79" t="s">
        <v>121</v>
      </c>
      <c r="B23" s="81">
        <f>VLOOKUP($A$5,tech_param[],9,FALSE)*VLOOKUP($A$5,tech_param[],10,FALSE)</f>
        <v>49.728376915919995</v>
      </c>
      <c r="C23" s="40" t="s">
        <v>183</v>
      </c>
      <c r="D23" s="76"/>
      <c r="E23" s="40"/>
      <c r="F23" s="40"/>
      <c r="G23" s="40"/>
      <c r="H23" s="40"/>
      <c r="I23" s="40"/>
      <c r="J23" s="40"/>
      <c r="K23" s="40"/>
      <c r="L23" s="40"/>
      <c r="M23" s="40"/>
      <c r="N23" s="40"/>
      <c r="O23" s="40"/>
      <c r="P23" s="40"/>
      <c r="Q23" s="40"/>
      <c r="R23" s="40"/>
    </row>
    <row r="24" spans="1:18" s="72" customFormat="1" ht="14.25" customHeight="1" x14ac:dyDescent="0.3">
      <c r="A24" s="79" t="s">
        <v>122</v>
      </c>
      <c r="B24" s="77">
        <f>VLOOKUP($A$5,tech_param[],8,FALSE)*B22/100</f>
        <v>276480</v>
      </c>
      <c r="C24" s="40" t="s">
        <v>123</v>
      </c>
      <c r="D24" s="76"/>
      <c r="E24" s="40"/>
      <c r="F24" s="40"/>
      <c r="G24" s="40"/>
      <c r="H24" s="40"/>
      <c r="I24" s="40"/>
      <c r="J24" s="40"/>
      <c r="K24" s="40"/>
      <c r="L24" s="40"/>
      <c r="M24" s="40"/>
      <c r="N24" s="40"/>
      <c r="O24" s="40"/>
      <c r="P24" s="40"/>
      <c r="Q24" s="40"/>
      <c r="R24" s="40"/>
    </row>
    <row r="25" spans="1:18" s="72" customFormat="1" ht="14.25" customHeight="1" x14ac:dyDescent="0.3">
      <c r="A25" s="40" t="s">
        <v>124</v>
      </c>
      <c r="B25" s="77">
        <f>B23*B13+B24</f>
        <v>316262.70153273601</v>
      </c>
      <c r="C25" s="40" t="s">
        <v>123</v>
      </c>
      <c r="D25" s="76"/>
      <c r="E25" s="40"/>
      <c r="F25" s="40"/>
      <c r="G25" s="40"/>
      <c r="H25" s="40"/>
      <c r="I25" s="40"/>
      <c r="J25" s="40"/>
      <c r="K25" s="40"/>
      <c r="L25" s="40"/>
      <c r="M25" s="40"/>
      <c r="N25" s="40"/>
      <c r="O25" s="40"/>
      <c r="P25" s="40"/>
      <c r="Q25" s="40"/>
      <c r="R25" s="40"/>
    </row>
    <row r="26" spans="1:18" s="72" customFormat="1" ht="14.25" customHeight="1" x14ac:dyDescent="0.3">
      <c r="A26" s="79" t="s">
        <v>182</v>
      </c>
      <c r="B26" s="82">
        <f>VLOOKUP($A$5,tech_param[],11,FALSE)</f>
        <v>9.7600000000000006E-2</v>
      </c>
      <c r="C26" s="83" t="s">
        <v>125</v>
      </c>
      <c r="D26" s="76"/>
      <c r="E26" s="40"/>
      <c r="F26" s="40"/>
      <c r="G26" s="40"/>
      <c r="H26" s="40"/>
      <c r="I26" s="40"/>
      <c r="J26" s="40"/>
      <c r="K26" s="40"/>
      <c r="L26" s="40"/>
      <c r="M26" s="40"/>
      <c r="N26" s="40"/>
      <c r="O26" s="40"/>
      <c r="P26" s="40"/>
      <c r="Q26" s="40"/>
      <c r="R26" s="40"/>
    </row>
    <row r="27" spans="1:18" s="72" customFormat="1" ht="14.25" customHeight="1" x14ac:dyDescent="0.3">
      <c r="A27" s="79" t="s">
        <v>126</v>
      </c>
      <c r="B27" s="82">
        <f>VLOOKUP($A$5,tech_param[],12,FALSE)</f>
        <v>7.7158303998599992E-3</v>
      </c>
      <c r="C27" s="40" t="s">
        <v>55</v>
      </c>
      <c r="D27" s="76"/>
      <c r="E27" s="40"/>
      <c r="F27" s="40"/>
      <c r="G27" s="40"/>
      <c r="H27" s="40"/>
      <c r="I27" s="40"/>
      <c r="J27" s="40"/>
      <c r="K27" s="40"/>
      <c r="L27" s="40"/>
      <c r="M27" s="40"/>
      <c r="N27" s="40"/>
      <c r="O27" s="40"/>
      <c r="P27" s="40"/>
      <c r="Q27" s="40"/>
      <c r="R27" s="40"/>
    </row>
    <row r="28" spans="1:18" s="72" customFormat="1" ht="14.25" customHeight="1" x14ac:dyDescent="0.3">
      <c r="A28" s="40" t="s">
        <v>127</v>
      </c>
      <c r="B28" s="84">
        <f>SUM(B26:B27)</f>
        <v>0.10531583039986001</v>
      </c>
      <c r="C28" s="40" t="s">
        <v>55</v>
      </c>
      <c r="D28" s="76"/>
      <c r="E28" s="40"/>
      <c r="F28" s="40"/>
      <c r="G28" s="40"/>
      <c r="H28" s="40"/>
      <c r="I28" s="40"/>
      <c r="J28" s="40"/>
      <c r="K28" s="40"/>
      <c r="L28" s="40"/>
      <c r="M28" s="40"/>
      <c r="N28" s="40"/>
      <c r="O28" s="40"/>
      <c r="P28" s="40"/>
      <c r="Q28" s="40"/>
      <c r="R28" s="40"/>
    </row>
    <row r="29" spans="1:18" s="72" customFormat="1" ht="14.25" customHeight="1" x14ac:dyDescent="0.3">
      <c r="A29" s="40"/>
      <c r="B29" s="74"/>
      <c r="C29" s="40"/>
      <c r="D29" s="43"/>
      <c r="E29" s="43"/>
      <c r="F29" s="43"/>
      <c r="G29" s="43"/>
      <c r="H29" s="43"/>
      <c r="I29" s="43"/>
      <c r="J29" s="43"/>
      <c r="K29" s="43"/>
      <c r="L29" s="43"/>
      <c r="M29" s="43"/>
      <c r="N29" s="43"/>
      <c r="O29" s="43"/>
      <c r="P29" s="43"/>
      <c r="Q29" s="40"/>
      <c r="R29" s="40"/>
    </row>
    <row r="30" spans="1:18" s="72" customFormat="1" ht="14.25" customHeight="1" x14ac:dyDescent="0.3">
      <c r="A30" s="75" t="s">
        <v>128</v>
      </c>
      <c r="B30" s="37" t="s">
        <v>12</v>
      </c>
      <c r="C30" s="75" t="s">
        <v>129</v>
      </c>
      <c r="D30" s="108" t="s">
        <v>14</v>
      </c>
      <c r="E30" s="43"/>
      <c r="F30" s="43"/>
      <c r="G30" s="43"/>
      <c r="H30" s="43"/>
      <c r="I30" s="43"/>
      <c r="J30" s="43"/>
      <c r="K30" s="43"/>
      <c r="L30" s="43"/>
      <c r="M30" s="43"/>
      <c r="N30" s="43"/>
      <c r="O30" s="43"/>
      <c r="P30" s="43"/>
      <c r="Q30" s="40"/>
      <c r="R30" s="40"/>
    </row>
    <row r="31" spans="1:18" s="72" customFormat="1" ht="14.25" customHeight="1" x14ac:dyDescent="0.3">
      <c r="A31" s="40" t="s">
        <v>130</v>
      </c>
      <c r="B31" s="85">
        <f>'Algemene parameters'!B13</f>
        <v>0.20239199999999999</v>
      </c>
      <c r="C31" s="40" t="s">
        <v>131</v>
      </c>
      <c r="D31" s="43" t="s">
        <v>132</v>
      </c>
      <c r="E31" s="43"/>
      <c r="F31" s="43"/>
      <c r="G31" s="43"/>
      <c r="H31" s="43"/>
      <c r="I31" s="43"/>
      <c r="J31" s="43"/>
      <c r="K31" s="43"/>
      <c r="L31" s="43"/>
      <c r="M31" s="43"/>
      <c r="N31" s="43"/>
      <c r="O31" s="43"/>
      <c r="P31" s="43"/>
      <c r="Q31" s="40"/>
      <c r="R31" s="40"/>
    </row>
    <row r="32" spans="1:18" s="72" customFormat="1" ht="14.25" customHeight="1" x14ac:dyDescent="0.3">
      <c r="A32" s="40" t="s">
        <v>133</v>
      </c>
      <c r="B32" s="86">
        <f>'Algemene parameters'!B15</f>
        <v>0.22487999999999997</v>
      </c>
      <c r="C32" s="40" t="s">
        <v>134</v>
      </c>
      <c r="D32" s="43" t="s">
        <v>135</v>
      </c>
      <c r="E32" s="43"/>
      <c r="F32" s="43"/>
      <c r="G32" s="43"/>
      <c r="H32" s="43"/>
      <c r="I32" s="43"/>
      <c r="J32" s="43"/>
      <c r="K32" s="43"/>
      <c r="L32" s="43"/>
      <c r="M32" s="43"/>
      <c r="N32" s="43"/>
      <c r="O32" s="43"/>
      <c r="P32" s="43"/>
      <c r="Q32" s="40"/>
      <c r="R32" s="40"/>
    </row>
    <row r="33" spans="1:18" s="72" customFormat="1" ht="14.25" customHeight="1" x14ac:dyDescent="0.3">
      <c r="A33" s="40" t="s">
        <v>136</v>
      </c>
      <c r="B33" s="85">
        <f>VLOOKUP($A$5,tech_param[],13,FALSE)</f>
        <v>0.15</v>
      </c>
      <c r="C33" s="40" t="s">
        <v>137</v>
      </c>
      <c r="D33" s="43"/>
      <c r="E33" s="43"/>
      <c r="F33" s="43"/>
      <c r="G33" s="43"/>
      <c r="H33" s="43"/>
      <c r="I33" s="43"/>
      <c r="J33" s="43"/>
      <c r="K33" s="43"/>
      <c r="L33" s="43"/>
      <c r="M33" s="43"/>
      <c r="N33" s="43"/>
      <c r="O33" s="43"/>
      <c r="P33" s="43"/>
      <c r="Q33" s="40"/>
      <c r="R33" s="40"/>
    </row>
    <row r="34" spans="1:18" s="72" customFormat="1" ht="14.25" customHeight="1" x14ac:dyDescent="0.3">
      <c r="A34" s="40" t="s">
        <v>138</v>
      </c>
      <c r="B34" s="86">
        <f>B32-(B33*B13/B15)</f>
        <v>0.20487999999999998</v>
      </c>
      <c r="C34" s="40" t="s">
        <v>134</v>
      </c>
      <c r="D34" s="43" t="s">
        <v>139</v>
      </c>
      <c r="E34" s="43"/>
      <c r="F34" s="43"/>
      <c r="G34" s="43"/>
      <c r="H34" s="43"/>
      <c r="I34" s="43"/>
      <c r="J34" s="43"/>
      <c r="K34" s="43"/>
      <c r="L34" s="43"/>
      <c r="M34" s="43"/>
      <c r="N34" s="43"/>
      <c r="O34" s="43"/>
      <c r="P34" s="43"/>
      <c r="Q34" s="40"/>
      <c r="R34" s="40"/>
    </row>
    <row r="35" spans="1:18" s="72" customFormat="1" ht="14.25" customHeight="1" x14ac:dyDescent="0.3">
      <c r="A35" s="40"/>
      <c r="B35" s="74"/>
      <c r="C35" s="40"/>
      <c r="D35" s="43"/>
      <c r="E35" s="43"/>
      <c r="F35" s="43"/>
      <c r="G35" s="43"/>
      <c r="H35" s="43"/>
      <c r="I35" s="43"/>
      <c r="J35" s="43"/>
      <c r="K35" s="43"/>
      <c r="L35" s="43"/>
      <c r="M35" s="43"/>
      <c r="N35" s="43"/>
      <c r="O35" s="43"/>
      <c r="P35" s="43"/>
      <c r="Q35" s="40"/>
      <c r="R35" s="40"/>
    </row>
    <row r="36" spans="1:18" s="109" customFormat="1" ht="14.25" customHeight="1" x14ac:dyDescent="0.3">
      <c r="A36" s="108" t="s">
        <v>28</v>
      </c>
      <c r="B36" s="50" t="s">
        <v>12</v>
      </c>
      <c r="C36" s="108" t="s">
        <v>13</v>
      </c>
      <c r="D36" s="43"/>
      <c r="E36" s="43"/>
      <c r="F36" s="43"/>
      <c r="G36" s="43"/>
      <c r="H36" s="43"/>
      <c r="I36" s="43"/>
      <c r="J36" s="43"/>
      <c r="K36" s="43"/>
      <c r="L36" s="43"/>
      <c r="M36" s="43"/>
      <c r="N36" s="43"/>
      <c r="O36" s="43"/>
      <c r="P36" s="43"/>
      <c r="Q36" s="54"/>
      <c r="R36" s="54"/>
    </row>
    <row r="37" spans="1:18" s="72" customFormat="1" ht="14.25" customHeight="1" x14ac:dyDescent="0.3">
      <c r="A37" s="40" t="s">
        <v>76</v>
      </c>
      <c r="B37" s="88">
        <f>VLOOKUP($A$5,tech_param[],14,FALSE)</f>
        <v>10</v>
      </c>
      <c r="C37" s="40" t="s">
        <v>30</v>
      </c>
      <c r="D37" s="43"/>
      <c r="E37" s="43"/>
      <c r="F37" s="43"/>
      <c r="G37" s="43"/>
      <c r="H37" s="43"/>
      <c r="I37" s="43"/>
      <c r="J37" s="43"/>
      <c r="K37" s="43"/>
      <c r="L37" s="43"/>
      <c r="M37" s="43"/>
      <c r="N37" s="43"/>
      <c r="O37" s="43"/>
      <c r="P37" s="43"/>
      <c r="Q37" s="40"/>
      <c r="R37" s="40"/>
    </row>
    <row r="38" spans="1:18" s="72" customFormat="1" ht="14.25" customHeight="1" x14ac:dyDescent="0.3">
      <c r="A38" s="40" t="s">
        <v>29</v>
      </c>
      <c r="B38" s="62">
        <f>'Algemene parameters'!B23</f>
        <v>10</v>
      </c>
      <c r="C38" s="40" t="s">
        <v>30</v>
      </c>
      <c r="D38" s="43"/>
      <c r="E38" s="43"/>
      <c r="F38" s="43"/>
      <c r="G38" s="43"/>
      <c r="H38" s="43"/>
      <c r="I38" s="43"/>
      <c r="J38" s="43"/>
      <c r="K38" s="43"/>
      <c r="L38" s="43"/>
      <c r="M38" s="43"/>
      <c r="N38" s="43"/>
      <c r="O38" s="43"/>
      <c r="P38" s="43"/>
      <c r="Q38" s="40"/>
      <c r="R38" s="40"/>
    </row>
    <row r="39" spans="1:18" s="72" customFormat="1" ht="14.25" customHeight="1" x14ac:dyDescent="0.3">
      <c r="A39" s="40" t="s">
        <v>31</v>
      </c>
      <c r="B39" s="90">
        <f>'Algemene parameters'!B24</f>
        <v>0.02</v>
      </c>
      <c r="C39" s="40"/>
      <c r="D39" s="43"/>
      <c r="E39" s="43"/>
      <c r="F39" s="43"/>
      <c r="G39" s="43"/>
      <c r="H39" s="43"/>
      <c r="I39" s="43"/>
      <c r="J39" s="43"/>
      <c r="K39" s="43"/>
      <c r="L39" s="43"/>
      <c r="M39" s="43"/>
      <c r="N39" s="43"/>
      <c r="O39" s="43"/>
      <c r="P39" s="43"/>
      <c r="Q39" s="40"/>
      <c r="R39" s="40"/>
    </row>
    <row r="40" spans="1:18" s="72" customFormat="1" ht="14.25" customHeight="1" x14ac:dyDescent="0.3">
      <c r="A40" s="79" t="s">
        <v>140</v>
      </c>
      <c r="B40" s="90">
        <f>'Algemene parameters'!B25</f>
        <v>5.7500000000000002E-2</v>
      </c>
      <c r="C40" s="40"/>
      <c r="D40" s="40"/>
      <c r="E40" s="40"/>
      <c r="F40" s="40"/>
      <c r="G40" s="40"/>
      <c r="H40" s="40"/>
      <c r="I40" s="40"/>
      <c r="J40" s="40"/>
      <c r="K40" s="40"/>
      <c r="L40" s="40"/>
      <c r="M40" s="40"/>
      <c r="N40" s="40"/>
      <c r="O40" s="40"/>
      <c r="P40" s="40"/>
      <c r="Q40" s="40"/>
      <c r="R40" s="40"/>
    </row>
    <row r="41" spans="1:18" s="72" customFormat="1" ht="14.25" customHeight="1" x14ac:dyDescent="0.3">
      <c r="A41" s="79" t="s">
        <v>141</v>
      </c>
      <c r="B41" s="45">
        <f>'Algemene parameters'!B26</f>
        <v>0.12</v>
      </c>
      <c r="C41" s="40"/>
      <c r="D41" s="40"/>
      <c r="E41" s="40"/>
      <c r="F41" s="40"/>
      <c r="G41" s="40"/>
      <c r="H41" s="40"/>
      <c r="I41" s="40"/>
      <c r="J41" s="40"/>
      <c r="K41" s="40"/>
      <c r="L41" s="40"/>
      <c r="M41" s="40"/>
      <c r="N41" s="40"/>
      <c r="O41" s="40"/>
      <c r="P41" s="40"/>
      <c r="Q41" s="40"/>
      <c r="R41" s="40"/>
    </row>
    <row r="42" spans="1:18" s="72" customFormat="1" ht="14.25" customHeight="1" x14ac:dyDescent="0.3">
      <c r="A42" s="79" t="s">
        <v>142</v>
      </c>
      <c r="B42" s="45">
        <f>'Algemene parameters'!B27</f>
        <v>0.58200000000000007</v>
      </c>
      <c r="C42" s="40"/>
      <c r="D42" s="40"/>
      <c r="E42" s="40"/>
      <c r="F42" s="40"/>
      <c r="G42" s="40"/>
      <c r="H42" s="40"/>
      <c r="I42" s="40"/>
      <c r="J42" s="40"/>
      <c r="K42" s="40"/>
      <c r="L42" s="40"/>
      <c r="M42" s="40"/>
      <c r="N42" s="40"/>
      <c r="O42" s="40"/>
      <c r="P42" s="40"/>
      <c r="Q42" s="40"/>
      <c r="R42" s="40"/>
    </row>
    <row r="43" spans="1:18" s="72" customFormat="1" ht="14.25" customHeight="1" x14ac:dyDescent="0.3">
      <c r="A43" s="79" t="s">
        <v>143</v>
      </c>
      <c r="B43" s="45">
        <f>'Algemene parameters'!B28</f>
        <v>0.41799999999999998</v>
      </c>
      <c r="C43" s="40"/>
      <c r="D43" s="40"/>
      <c r="E43" s="40"/>
      <c r="F43" s="40"/>
      <c r="G43" s="40"/>
      <c r="H43" s="40"/>
      <c r="I43" s="40"/>
      <c r="J43" s="40"/>
      <c r="K43" s="40"/>
      <c r="L43" s="40"/>
      <c r="M43" s="40"/>
      <c r="N43" s="40"/>
      <c r="O43" s="40"/>
      <c r="P43" s="40"/>
      <c r="Q43" s="40"/>
      <c r="R43" s="40"/>
    </row>
    <row r="44" spans="1:18" s="72" customFormat="1" ht="14.25" customHeight="1" x14ac:dyDescent="0.3">
      <c r="A44" s="40" t="s">
        <v>41</v>
      </c>
      <c r="B44" s="45">
        <f>'Algemene parameters'!B29</f>
        <v>0.25</v>
      </c>
      <c r="C44" s="40"/>
      <c r="D44" s="40"/>
      <c r="E44" s="40"/>
      <c r="F44" s="40"/>
      <c r="G44" s="40"/>
      <c r="H44" s="40"/>
      <c r="I44" s="40"/>
      <c r="J44" s="40"/>
      <c r="K44" s="40"/>
      <c r="L44" s="40"/>
      <c r="M44" s="40"/>
      <c r="N44" s="40"/>
      <c r="O44" s="40"/>
      <c r="P44" s="40"/>
      <c r="Q44" s="40"/>
      <c r="R44" s="40"/>
    </row>
    <row r="45" spans="1:18" s="72" customFormat="1" ht="14.25" customHeight="1" x14ac:dyDescent="0.3">
      <c r="A45" s="115" t="s">
        <v>42</v>
      </c>
      <c r="B45" s="111">
        <f>'Algemene parameters'!B30</f>
        <v>7.5258749999999999E-2</v>
      </c>
      <c r="C45" s="40"/>
      <c r="D45" s="40"/>
      <c r="E45" s="40"/>
      <c r="F45" s="40"/>
      <c r="G45" s="40"/>
      <c r="H45" s="40"/>
      <c r="I45" s="40"/>
      <c r="J45" s="40"/>
      <c r="K45" s="40"/>
      <c r="L45" s="40"/>
      <c r="M45" s="40"/>
      <c r="N45" s="40"/>
      <c r="O45" s="40"/>
      <c r="P45" s="40"/>
      <c r="Q45" s="40"/>
      <c r="R45" s="40"/>
    </row>
    <row r="46" spans="1:18" s="72" customFormat="1" ht="14.25" customHeight="1" x14ac:dyDescent="0.3">
      <c r="A46" s="40"/>
      <c r="B46" s="40"/>
      <c r="C46" s="40"/>
      <c r="D46" s="91"/>
      <c r="E46" s="91"/>
      <c r="F46" s="91"/>
      <c r="G46" s="91"/>
      <c r="H46" s="91"/>
      <c r="I46" s="91"/>
      <c r="J46" s="91"/>
      <c r="K46" s="91"/>
      <c r="L46" s="91"/>
      <c r="M46" s="91"/>
      <c r="N46" s="40"/>
      <c r="O46" s="40"/>
      <c r="P46" s="40"/>
      <c r="Q46" s="40"/>
      <c r="R46" s="40"/>
    </row>
    <row r="47" spans="1:18" s="109" customFormat="1" ht="14.25" customHeight="1" x14ac:dyDescent="0.3">
      <c r="A47" s="108" t="s">
        <v>144</v>
      </c>
      <c r="B47" s="50" t="s">
        <v>12</v>
      </c>
      <c r="C47" s="108" t="s">
        <v>13</v>
      </c>
      <c r="D47" s="108" t="s">
        <v>14</v>
      </c>
      <c r="E47" s="54"/>
      <c r="F47" s="54"/>
      <c r="G47" s="54"/>
      <c r="H47" s="54"/>
      <c r="I47" s="54"/>
      <c r="J47" s="110"/>
      <c r="K47" s="54"/>
      <c r="L47" s="54"/>
      <c r="M47" s="54"/>
      <c r="N47" s="54"/>
      <c r="O47" s="54"/>
      <c r="P47" s="54"/>
      <c r="Q47" s="54"/>
      <c r="R47" s="54"/>
    </row>
    <row r="48" spans="1:18" s="72" customFormat="1" ht="14.25" customHeight="1" x14ac:dyDescent="0.3">
      <c r="A48" s="79" t="s">
        <v>145</v>
      </c>
      <c r="B48" s="92">
        <f>'Algemene parameters'!B42/'Algemene parameters'!B14/B34*1000</f>
        <v>195.3828108642999</v>
      </c>
      <c r="C48" s="40" t="s">
        <v>91</v>
      </c>
      <c r="D48" s="43" t="s">
        <v>146</v>
      </c>
      <c r="E48" s="43"/>
      <c r="F48" s="43"/>
      <c r="G48" s="43"/>
      <c r="H48" s="43"/>
      <c r="I48" s="43"/>
      <c r="J48" s="87"/>
      <c r="K48" s="40"/>
      <c r="L48" s="40"/>
      <c r="M48" s="40"/>
      <c r="N48" s="40"/>
      <c r="O48" s="40"/>
      <c r="P48" s="40"/>
      <c r="Q48" s="40"/>
      <c r="R48" s="40"/>
    </row>
    <row r="49" spans="1:18" s="72" customFormat="1" ht="14.25" customHeight="1" x14ac:dyDescent="0.3">
      <c r="A49" s="79" t="s">
        <v>147</v>
      </c>
      <c r="B49" s="92">
        <f>(('Algemene parameters'!B44/1000*B32))/B34*1000</f>
        <v>155.3129636860601</v>
      </c>
      <c r="C49" s="40" t="s">
        <v>91</v>
      </c>
      <c r="D49" s="43" t="s">
        <v>148</v>
      </c>
      <c r="E49" s="43"/>
      <c r="F49" s="43"/>
      <c r="G49" s="43"/>
      <c r="H49" s="43"/>
      <c r="I49" s="43"/>
      <c r="J49" s="87"/>
      <c r="K49" s="40"/>
      <c r="L49" s="40"/>
      <c r="M49" s="40"/>
      <c r="N49" s="40"/>
      <c r="O49" s="40"/>
      <c r="P49" s="40"/>
      <c r="Q49" s="40"/>
      <c r="R49" s="40"/>
    </row>
    <row r="50" spans="1:18" s="72" customFormat="1" ht="14.25" customHeight="1" x14ac:dyDescent="0.3">
      <c r="A50" s="79" t="s">
        <v>149</v>
      </c>
      <c r="B50" s="92">
        <f>(('Algemene parameters'!B45/1000*B32))/B34*1000</f>
        <v>65.527801639984375</v>
      </c>
      <c r="C50" s="40" t="s">
        <v>91</v>
      </c>
      <c r="D50" s="43" t="s">
        <v>150</v>
      </c>
      <c r="E50" s="43"/>
      <c r="F50" s="43"/>
      <c r="G50" s="43"/>
      <c r="H50" s="43"/>
      <c r="I50" s="43"/>
      <c r="J50" s="87"/>
      <c r="K50" s="40"/>
      <c r="L50" s="40"/>
      <c r="M50" s="40"/>
      <c r="N50" s="40"/>
      <c r="O50" s="40"/>
      <c r="P50" s="40"/>
      <c r="Q50" s="40"/>
      <c r="R50" s="40"/>
    </row>
    <row r="51" spans="1:18" s="72" customFormat="1" ht="14.25" customHeight="1" x14ac:dyDescent="0.3">
      <c r="A51" s="40" t="s">
        <v>151</v>
      </c>
      <c r="B51" s="92">
        <f>SUM(B48:B49)</f>
        <v>350.69577455036</v>
      </c>
      <c r="C51" s="40" t="s">
        <v>91</v>
      </c>
      <c r="D51" s="43"/>
      <c r="E51" s="43"/>
      <c r="F51" s="43"/>
      <c r="G51" s="43"/>
      <c r="H51" s="43"/>
      <c r="I51" s="43"/>
      <c r="J51" s="89"/>
      <c r="K51" s="40"/>
      <c r="L51" s="40"/>
      <c r="M51" s="40"/>
      <c r="N51" s="40"/>
      <c r="O51" s="40"/>
      <c r="P51" s="40"/>
      <c r="Q51" s="40"/>
      <c r="R51" s="40"/>
    </row>
    <row r="52" spans="1:18" s="72" customFormat="1" ht="14.25" customHeight="1" x14ac:dyDescent="0.3">
      <c r="A52" s="40" t="s">
        <v>152</v>
      </c>
      <c r="B52" s="92">
        <f>B48+B50</f>
        <v>260.91061250428425</v>
      </c>
      <c r="C52" s="40" t="s">
        <v>91</v>
      </c>
      <c r="D52" s="43"/>
      <c r="E52" s="43"/>
      <c r="F52" s="43"/>
      <c r="G52" s="43"/>
      <c r="H52" s="43"/>
      <c r="I52" s="43"/>
      <c r="J52" s="89"/>
      <c r="K52" s="40"/>
      <c r="L52" s="40"/>
      <c r="M52" s="40"/>
      <c r="N52" s="40"/>
      <c r="O52" s="40"/>
      <c r="P52" s="40"/>
      <c r="Q52" s="40"/>
      <c r="R52" s="40"/>
    </row>
    <row r="53" spans="1:18" s="72" customFormat="1" ht="14.25" customHeight="1" x14ac:dyDescent="0.3">
      <c r="A53" s="40"/>
      <c r="B53" s="74"/>
      <c r="C53" s="40"/>
      <c r="D53" s="43"/>
      <c r="E53" s="43"/>
      <c r="F53" s="43"/>
      <c r="G53" s="43"/>
      <c r="H53" s="43"/>
      <c r="I53" s="43"/>
      <c r="J53" s="89"/>
      <c r="K53" s="40"/>
      <c r="L53" s="40"/>
      <c r="M53" s="40"/>
      <c r="N53" s="40"/>
      <c r="O53" s="40"/>
      <c r="P53" s="40"/>
      <c r="Q53" s="40"/>
      <c r="R53" s="40"/>
    </row>
    <row r="54" spans="1:18" s="109" customFormat="1" ht="14.25" customHeight="1" x14ac:dyDescent="0.3">
      <c r="A54" s="108" t="s">
        <v>153</v>
      </c>
      <c r="B54" s="50" t="s">
        <v>12</v>
      </c>
      <c r="C54" s="108" t="s">
        <v>13</v>
      </c>
      <c r="D54" s="108" t="s">
        <v>14</v>
      </c>
      <c r="E54" s="43"/>
      <c r="F54" s="43"/>
      <c r="G54" s="43"/>
      <c r="H54" s="43"/>
      <c r="I54" s="43"/>
      <c r="J54" s="110"/>
      <c r="K54" s="54"/>
      <c r="L54" s="54"/>
      <c r="M54" s="54"/>
      <c r="N54" s="54"/>
      <c r="O54" s="54"/>
      <c r="P54" s="54"/>
      <c r="Q54" s="54"/>
      <c r="R54" s="54"/>
    </row>
    <row r="55" spans="1:18" s="72" customFormat="1" ht="14.25" customHeight="1" x14ac:dyDescent="0.3">
      <c r="A55" s="79" t="s">
        <v>154</v>
      </c>
      <c r="B55" s="92">
        <f>B59/$B$34*1000</f>
        <v>130.25520724286659</v>
      </c>
      <c r="C55" s="40" t="s">
        <v>91</v>
      </c>
      <c r="D55" s="151" t="s">
        <v>155</v>
      </c>
      <c r="E55" s="151"/>
      <c r="F55" s="151"/>
      <c r="G55" s="151"/>
      <c r="H55" s="151"/>
      <c r="I55" s="151"/>
      <c r="J55" s="152"/>
      <c r="K55" s="40"/>
      <c r="L55" s="40"/>
      <c r="M55" s="40"/>
      <c r="N55" s="40"/>
      <c r="O55" s="40"/>
      <c r="P55" s="40"/>
      <c r="Q55" s="40"/>
      <c r="R55" s="40"/>
    </row>
    <row r="56" spans="1:18" s="72" customFormat="1" ht="14.25" customHeight="1" x14ac:dyDescent="0.3">
      <c r="A56" s="79" t="s">
        <v>156</v>
      </c>
      <c r="B56" s="92">
        <f t="shared" ref="B56:B57" si="0">B60/$B$34*1000</f>
        <v>103.54197579070676</v>
      </c>
      <c r="C56" s="40" t="s">
        <v>91</v>
      </c>
      <c r="D56" s="151" t="s">
        <v>155</v>
      </c>
      <c r="E56" s="151"/>
      <c r="F56" s="151"/>
      <c r="G56" s="151"/>
      <c r="H56" s="151"/>
      <c r="I56" s="151"/>
      <c r="J56" s="152"/>
      <c r="K56" s="40"/>
      <c r="L56" s="40"/>
      <c r="M56" s="40"/>
      <c r="N56" s="40"/>
      <c r="O56" s="40"/>
      <c r="P56" s="40"/>
      <c r="Q56" s="40"/>
      <c r="R56" s="40"/>
    </row>
    <row r="57" spans="1:18" s="72" customFormat="1" ht="14.25" customHeight="1" x14ac:dyDescent="0.3">
      <c r="A57" s="79" t="s">
        <v>157</v>
      </c>
      <c r="B57" s="92">
        <f t="shared" si="0"/>
        <v>43.68520109332291</v>
      </c>
      <c r="C57" s="40" t="s">
        <v>91</v>
      </c>
      <c r="D57" s="151" t="s">
        <v>155</v>
      </c>
      <c r="E57" s="151"/>
      <c r="F57" s="151"/>
      <c r="G57" s="151"/>
      <c r="H57" s="151"/>
      <c r="I57" s="151"/>
      <c r="J57" s="152"/>
      <c r="K57" s="40"/>
      <c r="L57" s="40"/>
      <c r="M57" s="40"/>
      <c r="N57" s="40"/>
      <c r="O57" s="40"/>
      <c r="P57" s="40"/>
      <c r="Q57" s="40"/>
      <c r="R57" s="40"/>
    </row>
    <row r="58" spans="1:18" s="72" customFormat="1" ht="14.25" customHeight="1" x14ac:dyDescent="0.3">
      <c r="A58" s="79"/>
      <c r="B58" s="92"/>
      <c r="C58" s="40"/>
      <c r="D58" s="43"/>
      <c r="E58" s="43"/>
      <c r="F58" s="43"/>
      <c r="G58" s="43"/>
      <c r="H58" s="43"/>
      <c r="I58" s="43"/>
      <c r="J58" s="87"/>
      <c r="K58" s="40"/>
      <c r="L58" s="40"/>
      <c r="M58" s="40"/>
      <c r="N58" s="40"/>
      <c r="O58" s="40"/>
      <c r="P58" s="40"/>
      <c r="Q58" s="40"/>
      <c r="R58" s="40"/>
    </row>
    <row r="59" spans="1:18" s="72" customFormat="1" ht="14.25" customHeight="1" x14ac:dyDescent="0.3">
      <c r="A59" s="79" t="s">
        <v>154</v>
      </c>
      <c r="B59" s="93">
        <f>2/3*'Algemene parameters'!B42/'Algemene parameters'!B14</f>
        <v>2.6686686859918506E-2</v>
      </c>
      <c r="C59" s="40" t="s">
        <v>92</v>
      </c>
      <c r="D59" s="43"/>
      <c r="E59" s="43"/>
      <c r="F59" s="43"/>
      <c r="G59" s="43"/>
      <c r="H59" s="43"/>
      <c r="I59" s="43"/>
      <c r="J59" s="87"/>
      <c r="K59" s="40"/>
      <c r="L59" s="40"/>
      <c r="M59" s="40"/>
      <c r="N59" s="40"/>
      <c r="O59" s="40"/>
      <c r="P59" s="40"/>
      <c r="Q59" s="40"/>
      <c r="R59" s="40"/>
    </row>
    <row r="60" spans="1:18" s="72" customFormat="1" ht="14.25" customHeight="1" x14ac:dyDescent="0.3">
      <c r="A60" s="79" t="s">
        <v>156</v>
      </c>
      <c r="B60" s="93">
        <f>2/3*'Algemene parameters'!B44*'Algemene parameters'!B13/'Algemene parameters'!B14/1000</f>
        <v>2.1213679999999999E-2</v>
      </c>
      <c r="C60" s="40" t="s">
        <v>92</v>
      </c>
      <c r="D60" s="43"/>
      <c r="E60" s="43"/>
      <c r="F60" s="43"/>
      <c r="G60" s="43"/>
      <c r="H60" s="43"/>
      <c r="I60" s="43"/>
      <c r="J60" s="87"/>
      <c r="K60" s="40"/>
      <c r="L60" s="40"/>
      <c r="M60" s="40"/>
      <c r="N60" s="40"/>
      <c r="O60" s="40"/>
      <c r="P60" s="40"/>
      <c r="Q60" s="40"/>
      <c r="R60" s="40"/>
    </row>
    <row r="61" spans="1:18" s="72" customFormat="1" ht="14.25" customHeight="1" x14ac:dyDescent="0.3">
      <c r="A61" s="79" t="s">
        <v>157</v>
      </c>
      <c r="B61" s="93">
        <f>2/3*'Algemene parameters'!B45*'Algemene parameters'!B13/'Algemene parameters'!B14/1000</f>
        <v>8.9502239999999979E-3</v>
      </c>
      <c r="C61" s="40" t="s">
        <v>92</v>
      </c>
      <c r="D61" s="43"/>
      <c r="E61" s="43"/>
      <c r="F61" s="43"/>
      <c r="G61" s="43"/>
      <c r="H61" s="43"/>
      <c r="I61" s="43"/>
      <c r="J61" s="87"/>
      <c r="K61" s="40"/>
      <c r="L61" s="40"/>
      <c r="M61" s="40"/>
      <c r="N61" s="40"/>
      <c r="O61" s="40"/>
      <c r="P61" s="40"/>
      <c r="Q61" s="40"/>
      <c r="R61" s="40"/>
    </row>
    <row r="62" spans="1:18" s="72" customFormat="1" ht="14.25" customHeight="1" x14ac:dyDescent="0.3">
      <c r="A62" s="79"/>
      <c r="B62" s="92"/>
      <c r="C62" s="40"/>
      <c r="D62" s="94"/>
      <c r="I62" s="40"/>
      <c r="J62" s="87"/>
      <c r="K62" s="40"/>
      <c r="L62" s="40"/>
      <c r="M62" s="40"/>
      <c r="N62" s="40"/>
      <c r="O62" s="40"/>
      <c r="P62" s="40"/>
      <c r="Q62" s="40"/>
      <c r="R62" s="40"/>
    </row>
    <row r="63" spans="1:18" s="72" customFormat="1" ht="14.25" customHeight="1" x14ac:dyDescent="0.3">
      <c r="A63" s="95" t="s">
        <v>158</v>
      </c>
      <c r="B63" s="97">
        <f>B59+B60</f>
        <v>4.7900366859918504E-2</v>
      </c>
      <c r="C63" s="40" t="s">
        <v>92</v>
      </c>
      <c r="D63" s="76"/>
      <c r="E63" s="40"/>
      <c r="F63" s="40"/>
      <c r="G63" s="40"/>
      <c r="H63" s="40"/>
      <c r="I63" s="40"/>
      <c r="J63" s="89"/>
      <c r="K63" s="40"/>
      <c r="L63" s="40"/>
      <c r="M63" s="40"/>
      <c r="N63" s="40"/>
      <c r="O63" s="40"/>
      <c r="P63" s="40"/>
      <c r="Q63" s="40"/>
      <c r="R63" s="40"/>
    </row>
    <row r="64" spans="1:18" s="72" customFormat="1" ht="14.25" customHeight="1" x14ac:dyDescent="0.3">
      <c r="A64" s="95" t="s">
        <v>159</v>
      </c>
      <c r="B64" s="97">
        <f>B59+B61</f>
        <v>3.5636910859918505E-2</v>
      </c>
      <c r="C64" s="40" t="s">
        <v>92</v>
      </c>
      <c r="D64" s="76"/>
      <c r="E64" s="40"/>
      <c r="F64" s="40"/>
      <c r="G64" s="40"/>
      <c r="H64" s="40"/>
      <c r="I64" s="40"/>
      <c r="J64" s="89"/>
      <c r="K64" s="40"/>
      <c r="L64" s="40"/>
      <c r="M64" s="40"/>
      <c r="N64" s="40"/>
      <c r="O64" s="40"/>
      <c r="P64" s="40"/>
      <c r="Q64" s="40"/>
      <c r="R64" s="40"/>
    </row>
    <row r="65" spans="1:18" s="72" customFormat="1" ht="14.25" customHeight="1" x14ac:dyDescent="0.3">
      <c r="A65" s="95" t="s">
        <v>160</v>
      </c>
      <c r="B65" s="97">
        <f>B59</f>
        <v>2.6686686859918506E-2</v>
      </c>
      <c r="C65" s="40" t="s">
        <v>92</v>
      </c>
      <c r="D65" s="76"/>
      <c r="E65" s="40"/>
      <c r="F65" s="40"/>
      <c r="G65" s="40"/>
      <c r="H65" s="40"/>
      <c r="I65" s="40"/>
      <c r="J65" s="89"/>
      <c r="K65" s="40"/>
      <c r="L65" s="40"/>
      <c r="M65" s="40"/>
      <c r="N65" s="40"/>
      <c r="O65" s="40"/>
      <c r="P65" s="40"/>
      <c r="Q65" s="40"/>
      <c r="R65" s="40"/>
    </row>
    <row r="66" spans="1:18" s="142" customFormat="1" x14ac:dyDescent="0.2">
      <c r="A66" s="140"/>
      <c r="B66" s="141"/>
      <c r="C66" s="15"/>
      <c r="D66" s="140"/>
      <c r="E66" s="140"/>
      <c r="F66" s="140"/>
      <c r="G66" s="140"/>
      <c r="H66" s="140"/>
      <c r="I66" s="140"/>
      <c r="J66" s="140"/>
      <c r="K66" s="140"/>
      <c r="L66" s="140"/>
      <c r="M66" s="140"/>
      <c r="N66" s="140"/>
      <c r="O66" s="140"/>
      <c r="P66" s="140"/>
      <c r="Q66" s="140"/>
      <c r="R66" s="140"/>
    </row>
    <row r="67" spans="1:18" s="72" customFormat="1" ht="14.25" customHeight="1" x14ac:dyDescent="0.3">
      <c r="A67" s="95"/>
      <c r="B67" s="92"/>
      <c r="C67" s="40"/>
      <c r="D67" s="76"/>
      <c r="E67" s="40"/>
      <c r="F67" s="40"/>
      <c r="G67" s="40"/>
      <c r="H67" s="40"/>
      <c r="I67" s="40"/>
      <c r="J67" s="89"/>
      <c r="K67" s="40"/>
      <c r="L67" s="40"/>
      <c r="M67" s="40"/>
      <c r="N67" s="40"/>
      <c r="O67" s="40"/>
      <c r="P67" s="40"/>
      <c r="Q67" s="40"/>
      <c r="R67" s="40"/>
    </row>
    <row r="68" spans="1:18" s="72" customFormat="1" ht="14.25" customHeight="1" x14ac:dyDescent="0.3">
      <c r="A68" s="95"/>
      <c r="B68" s="92"/>
      <c r="C68" s="40"/>
      <c r="D68" s="76"/>
      <c r="E68" s="40"/>
      <c r="F68" s="40"/>
      <c r="G68" s="40"/>
      <c r="H68" s="40"/>
      <c r="I68" s="40"/>
      <c r="J68" s="89"/>
      <c r="K68" s="40"/>
      <c r="L68" s="40"/>
      <c r="M68" s="40"/>
      <c r="N68" s="40"/>
      <c r="O68" s="40"/>
      <c r="P68" s="40"/>
      <c r="Q68" s="40"/>
      <c r="R68" s="40"/>
    </row>
    <row r="69" spans="1:18" s="72" customFormat="1" ht="14.25" customHeight="1" x14ac:dyDescent="0.3">
      <c r="A69" s="40"/>
      <c r="B69" s="74"/>
      <c r="C69" s="40"/>
      <c r="D69" s="40"/>
      <c r="E69" s="40"/>
      <c r="F69" s="40"/>
      <c r="G69" s="40"/>
      <c r="H69" s="40"/>
      <c r="I69" s="40"/>
      <c r="J69" s="89"/>
      <c r="K69" s="40"/>
      <c r="L69" s="40"/>
      <c r="M69" s="40"/>
      <c r="N69" s="40"/>
      <c r="O69" s="40"/>
      <c r="P69" s="40"/>
      <c r="Q69" s="40"/>
      <c r="R69" s="40"/>
    </row>
    <row r="70" spans="1:18" s="48" customFormat="1" ht="14.25" customHeight="1" x14ac:dyDescent="0.3">
      <c r="A70" s="46" t="s">
        <v>161</v>
      </c>
      <c r="B70" s="46"/>
      <c r="C70" s="46"/>
      <c r="D70" s="46"/>
      <c r="E70" s="46"/>
      <c r="F70" s="46"/>
      <c r="G70" s="46"/>
      <c r="H70" s="46"/>
      <c r="I70" s="46"/>
      <c r="J70" s="46"/>
      <c r="K70" s="46"/>
    </row>
    <row r="71" spans="1:18" s="95" customFormat="1" ht="14.25" customHeight="1" x14ac:dyDescent="0.3">
      <c r="A71" s="166" t="s">
        <v>1</v>
      </c>
      <c r="B71" s="167"/>
      <c r="C71" s="167"/>
      <c r="D71" s="167"/>
      <c r="E71" s="167"/>
      <c r="F71" s="167"/>
      <c r="G71" s="167"/>
      <c r="H71" s="167"/>
      <c r="I71" s="167"/>
      <c r="J71" s="167"/>
      <c r="K71" s="167"/>
      <c r="L71" s="167"/>
      <c r="M71" s="167"/>
      <c r="N71" s="167"/>
      <c r="O71" s="169"/>
      <c r="P71" s="169"/>
      <c r="Q71" s="169"/>
      <c r="R71" s="169"/>
    </row>
    <row r="72" spans="1:18" s="14" customFormat="1" ht="14.25" customHeight="1" x14ac:dyDescent="0.3">
      <c r="A72" s="11"/>
      <c r="B72" s="12"/>
      <c r="C72" s="11"/>
      <c r="D72" s="11"/>
      <c r="E72" s="11"/>
      <c r="F72" s="11"/>
      <c r="G72" s="11"/>
      <c r="H72" s="11"/>
      <c r="I72" s="11"/>
      <c r="J72" s="11"/>
      <c r="K72" s="11"/>
      <c r="L72" s="11"/>
      <c r="M72" s="11"/>
      <c r="N72" s="11"/>
      <c r="O72" s="11"/>
      <c r="P72" s="11"/>
      <c r="Q72" s="11"/>
      <c r="R72" s="11"/>
    </row>
    <row r="73" spans="1:18" s="119" customFormat="1" ht="14.25" customHeight="1" x14ac:dyDescent="0.3">
      <c r="A73" s="120" t="s">
        <v>162</v>
      </c>
      <c r="B73" s="120"/>
      <c r="C73" s="121">
        <v>0</v>
      </c>
      <c r="D73" s="121">
        <v>1</v>
      </c>
      <c r="E73" s="121">
        <v>2</v>
      </c>
      <c r="F73" s="121">
        <v>3</v>
      </c>
      <c r="G73" s="121">
        <v>4</v>
      </c>
      <c r="H73" s="121">
        <v>5</v>
      </c>
      <c r="I73" s="121">
        <v>6</v>
      </c>
      <c r="J73" s="121">
        <v>7</v>
      </c>
      <c r="K73" s="121">
        <v>8</v>
      </c>
      <c r="L73" s="121">
        <v>9</v>
      </c>
      <c r="M73" s="121">
        <v>10</v>
      </c>
      <c r="N73" s="121">
        <v>11</v>
      </c>
      <c r="O73" s="121">
        <v>12</v>
      </c>
      <c r="P73" s="121">
        <v>13</v>
      </c>
      <c r="Q73" s="121">
        <v>14</v>
      </c>
      <c r="R73" s="121">
        <v>15</v>
      </c>
    </row>
    <row r="74" spans="1:18" s="133" customFormat="1" ht="14.25" customHeight="1" x14ac:dyDescent="0.3">
      <c r="A74" s="154" t="s">
        <v>163</v>
      </c>
      <c r="B74" s="123"/>
      <c r="C74" s="124"/>
      <c r="D74" s="125">
        <f t="shared" ref="D74:R74" si="1">POWER(1+$B$39,D73-$D$73)</f>
        <v>1</v>
      </c>
      <c r="E74" s="125">
        <f t="shared" si="1"/>
        <v>1.02</v>
      </c>
      <c r="F74" s="125">
        <f t="shared" si="1"/>
        <v>1.0404</v>
      </c>
      <c r="G74" s="125">
        <f t="shared" si="1"/>
        <v>1.0612079999999999</v>
      </c>
      <c r="H74" s="125">
        <f t="shared" si="1"/>
        <v>1.08243216</v>
      </c>
      <c r="I74" s="125">
        <f t="shared" si="1"/>
        <v>1.1040808032</v>
      </c>
      <c r="J74" s="125">
        <f t="shared" si="1"/>
        <v>1.1261624192640001</v>
      </c>
      <c r="K74" s="125">
        <f t="shared" si="1"/>
        <v>1.1486856676492798</v>
      </c>
      <c r="L74" s="125">
        <f t="shared" si="1"/>
        <v>1.1716593810022655</v>
      </c>
      <c r="M74" s="125">
        <f t="shared" si="1"/>
        <v>1.1950925686223108</v>
      </c>
      <c r="N74" s="125">
        <f t="shared" si="1"/>
        <v>1.2189944199947571</v>
      </c>
      <c r="O74" s="125">
        <f t="shared" si="1"/>
        <v>1.243374308394652</v>
      </c>
      <c r="P74" s="125">
        <f t="shared" si="1"/>
        <v>1.2682417945625453</v>
      </c>
      <c r="Q74" s="125">
        <f t="shared" si="1"/>
        <v>1.2936066304537961</v>
      </c>
      <c r="R74" s="125">
        <f t="shared" si="1"/>
        <v>1.3194787630628722</v>
      </c>
    </row>
    <row r="75" spans="1:18" s="133" customFormat="1" ht="14.25" customHeight="1" x14ac:dyDescent="0.3">
      <c r="A75" s="122"/>
      <c r="B75" s="123"/>
      <c r="C75" s="124"/>
      <c r="D75" s="125"/>
      <c r="E75" s="125"/>
      <c r="F75" s="125"/>
      <c r="G75" s="125"/>
      <c r="H75" s="125"/>
      <c r="I75" s="125"/>
      <c r="J75" s="125"/>
      <c r="K75" s="125"/>
      <c r="L75" s="125"/>
      <c r="M75" s="125"/>
      <c r="N75" s="125"/>
      <c r="O75" s="125"/>
      <c r="P75" s="125"/>
      <c r="Q75" s="125"/>
      <c r="R75" s="125"/>
    </row>
    <row r="76" spans="1:18" s="133" customFormat="1" ht="14.25" customHeight="1" x14ac:dyDescent="0.3">
      <c r="A76" s="126" t="s">
        <v>116</v>
      </c>
      <c r="B76" s="127"/>
      <c r="C76" s="127"/>
      <c r="D76" s="127"/>
      <c r="E76" s="127"/>
      <c r="F76" s="127"/>
      <c r="G76" s="127"/>
      <c r="H76" s="127"/>
      <c r="I76" s="127"/>
      <c r="J76" s="127"/>
      <c r="K76" s="127"/>
      <c r="L76" s="127"/>
      <c r="M76" s="127"/>
      <c r="N76" s="127"/>
      <c r="O76" s="127"/>
      <c r="P76" s="127"/>
      <c r="Q76" s="127"/>
      <c r="R76" s="127"/>
    </row>
    <row r="77" spans="1:18" s="133" customFormat="1" ht="14.25" customHeight="1" x14ac:dyDescent="0.3">
      <c r="A77" s="124" t="s">
        <v>164</v>
      </c>
      <c r="B77" s="123"/>
      <c r="C77" s="128">
        <f>-B22</f>
        <v>-6912000</v>
      </c>
      <c r="D77" s="124"/>
      <c r="E77" s="124"/>
      <c r="F77" s="124"/>
      <c r="G77" s="124"/>
      <c r="H77" s="124"/>
      <c r="I77" s="124"/>
      <c r="J77" s="124"/>
      <c r="K77" s="124"/>
      <c r="L77" s="124"/>
      <c r="M77" s="124"/>
      <c r="N77" s="128"/>
      <c r="O77" s="128"/>
      <c r="P77" s="124"/>
      <c r="Q77" s="124"/>
      <c r="R77" s="124"/>
    </row>
    <row r="78" spans="1:18" s="133" customFormat="1" ht="14.25" customHeight="1" x14ac:dyDescent="0.3">
      <c r="A78" s="124" t="s">
        <v>165</v>
      </c>
      <c r="B78" s="123"/>
      <c r="C78" s="128"/>
      <c r="D78" s="129">
        <f>-$B$25*D74</f>
        <v>-316262.70153273601</v>
      </c>
      <c r="E78" s="129">
        <f>-$B$25*E74</f>
        <v>-322587.95556339074</v>
      </c>
      <c r="F78" s="129">
        <f t="shared" ref="F78:M78" si="2">-$B$25*F74</f>
        <v>-329039.71467465855</v>
      </c>
      <c r="G78" s="129">
        <f t="shared" si="2"/>
        <v>-335620.5089681517</v>
      </c>
      <c r="H78" s="129">
        <f t="shared" si="2"/>
        <v>-342332.91914751474</v>
      </c>
      <c r="I78" s="129">
        <f t="shared" si="2"/>
        <v>-349179.57753046503</v>
      </c>
      <c r="J78" s="129">
        <f t="shared" si="2"/>
        <v>-356163.16908107436</v>
      </c>
      <c r="K78" s="129">
        <f t="shared" si="2"/>
        <v>-363286.43246269575</v>
      </c>
      <c r="L78" s="129">
        <f t="shared" si="2"/>
        <v>-370552.16111194971</v>
      </c>
      <c r="M78" s="129">
        <f t="shared" si="2"/>
        <v>-377963.20433418872</v>
      </c>
      <c r="N78" s="129">
        <f>IF($B$37&gt;=N$73,-$B$25*N$74,0)</f>
        <v>0</v>
      </c>
      <c r="O78" s="129">
        <f>IF($B$37&gt;=O$73,-$B$25*O$74,0)</f>
        <v>0</v>
      </c>
      <c r="P78" s="129">
        <f>IF($B$37&gt;=P$73,-$B$25*P$74,0)</f>
        <v>0</v>
      </c>
      <c r="Q78" s="129">
        <f>IF($B$37&gt;=Q$73,-$B$25*Q$74,0)</f>
        <v>0</v>
      </c>
      <c r="R78" s="129">
        <f>IF($B$37&gt;=R$73,-$B$25*R$74,0)</f>
        <v>0</v>
      </c>
    </row>
    <row r="79" spans="1:18" s="133" customFormat="1" ht="14.25" customHeight="1" x14ac:dyDescent="0.3">
      <c r="A79" s="124" t="s">
        <v>166</v>
      </c>
      <c r="B79" s="123"/>
      <c r="C79" s="124"/>
      <c r="D79" s="128">
        <f>-($B$28*$B$18*1000)*D74</f>
        <v>-252757.99295966403</v>
      </c>
      <c r="E79" s="128">
        <f t="shared" ref="E79:M79" si="3">-($B$28*$B$18*1000)*E74</f>
        <v>-257813.15281885731</v>
      </c>
      <c r="F79" s="128">
        <f t="shared" si="3"/>
        <v>-262969.41587523447</v>
      </c>
      <c r="G79" s="128">
        <f t="shared" si="3"/>
        <v>-268228.80419273913</v>
      </c>
      <c r="H79" s="128">
        <f t="shared" si="3"/>
        <v>-273593.3802765939</v>
      </c>
      <c r="I79" s="128">
        <f t="shared" si="3"/>
        <v>-279065.24788212578</v>
      </c>
      <c r="J79" s="128">
        <f t="shared" si="3"/>
        <v>-284646.55283976835</v>
      </c>
      <c r="K79" s="128">
        <f t="shared" si="3"/>
        <v>-290339.48389656364</v>
      </c>
      <c r="L79" s="128">
        <f t="shared" si="3"/>
        <v>-296146.27357449493</v>
      </c>
      <c r="M79" s="128">
        <f t="shared" si="3"/>
        <v>-302069.19904598483</v>
      </c>
      <c r="N79" s="128">
        <f>IF($B$37&gt;=N$73,-($B$28*$B$18*1000)*N74,0)</f>
        <v>0</v>
      </c>
      <c r="O79" s="128">
        <f>IF($B$37&gt;=O$73,-($B$28*$B$18*1000)*O74,0)</f>
        <v>0</v>
      </c>
      <c r="P79" s="128">
        <f>IF($B$37&gt;=P$73,-($B$28*$B$18*1000)*P74,0)</f>
        <v>0</v>
      </c>
      <c r="Q79" s="128">
        <f>IF($B$37&gt;=Q$73,-($B$28*$B$18*1000)*Q74,0)</f>
        <v>0</v>
      </c>
      <c r="R79" s="128">
        <f>IF($B$37&gt;=R$73,-($B$28*$B$18*1000)*R74,0)</f>
        <v>0</v>
      </c>
    </row>
    <row r="80" spans="1:18" s="133" customFormat="1" ht="14.25" customHeight="1" x14ac:dyDescent="0.3">
      <c r="A80" s="126" t="s">
        <v>167</v>
      </c>
      <c r="B80" s="126"/>
      <c r="C80" s="126"/>
      <c r="D80" s="126"/>
      <c r="E80" s="126"/>
      <c r="F80" s="126"/>
      <c r="G80" s="126"/>
      <c r="H80" s="126"/>
      <c r="I80" s="126"/>
      <c r="J80" s="126"/>
      <c r="K80" s="126"/>
      <c r="L80" s="126"/>
      <c r="M80" s="126"/>
      <c r="N80" s="126"/>
      <c r="O80" s="126"/>
      <c r="P80" s="126"/>
      <c r="Q80" s="126"/>
      <c r="R80" s="126"/>
    </row>
    <row r="81" spans="1:18" s="133" customFormat="1" ht="14.25" customHeight="1" x14ac:dyDescent="0.3">
      <c r="A81" s="124" t="s">
        <v>168</v>
      </c>
      <c r="B81" s="123"/>
      <c r="C81" s="124"/>
      <c r="D81" s="128">
        <f>$C$77/$B$38</f>
        <v>-691200</v>
      </c>
      <c r="E81" s="128">
        <f t="shared" ref="E81:M81" si="4">$C$77/$B$38</f>
        <v>-691200</v>
      </c>
      <c r="F81" s="128">
        <f t="shared" si="4"/>
        <v>-691200</v>
      </c>
      <c r="G81" s="128">
        <f t="shared" si="4"/>
        <v>-691200</v>
      </c>
      <c r="H81" s="128">
        <f t="shared" si="4"/>
        <v>-691200</v>
      </c>
      <c r="I81" s="128">
        <f t="shared" si="4"/>
        <v>-691200</v>
      </c>
      <c r="J81" s="128">
        <f t="shared" si="4"/>
        <v>-691200</v>
      </c>
      <c r="K81" s="128">
        <f t="shared" si="4"/>
        <v>-691200</v>
      </c>
      <c r="L81" s="128">
        <f t="shared" si="4"/>
        <v>-691200</v>
      </c>
      <c r="M81" s="128">
        <f t="shared" si="4"/>
        <v>-691200</v>
      </c>
      <c r="N81" s="128"/>
      <c r="O81" s="128"/>
      <c r="P81" s="128"/>
      <c r="Q81" s="128"/>
      <c r="R81" s="128"/>
    </row>
    <row r="82" spans="1:18" s="133" customFormat="1" ht="14.25" customHeight="1" x14ac:dyDescent="0.3">
      <c r="A82" s="130" t="s">
        <v>169</v>
      </c>
      <c r="B82" s="123"/>
      <c r="C82" s="124"/>
      <c r="D82" s="128">
        <f>-IPMT($B$40,D73,$B$38,$B$42*$C$77)</f>
        <v>-231310.08000000002</v>
      </c>
      <c r="E82" s="128">
        <f t="shared" ref="E82:M82" si="5">-IPMT($B$40,E73,$B$38,$B$42*$C$77)</f>
        <v>-213553.9625380325</v>
      </c>
      <c r="F82" s="128">
        <f t="shared" si="5"/>
        <v>-194776.86832200183</v>
      </c>
      <c r="G82" s="128">
        <f t="shared" si="5"/>
        <v>-174920.09118854941</v>
      </c>
      <c r="H82" s="128">
        <f t="shared" si="5"/>
        <v>-153921.54936992348</v>
      </c>
      <c r="I82" s="128">
        <f t="shared" si="5"/>
        <v>-131715.59139672652</v>
      </c>
      <c r="J82" s="128">
        <f t="shared" si="5"/>
        <v>-108232.79084007077</v>
      </c>
      <c r="K82" s="128">
        <f t="shared" si="5"/>
        <v>-83399.72925140732</v>
      </c>
      <c r="L82" s="128">
        <f t="shared" si="5"/>
        <v>-57138.766621395698</v>
      </c>
      <c r="M82" s="128">
        <f t="shared" si="5"/>
        <v>-29367.798640158424</v>
      </c>
      <c r="N82" s="128"/>
      <c r="O82" s="128"/>
      <c r="P82" s="128"/>
      <c r="Q82" s="128"/>
      <c r="R82" s="128"/>
    </row>
    <row r="83" spans="1:18" s="133" customFormat="1" ht="14.25" customHeight="1" x14ac:dyDescent="0.3">
      <c r="A83" s="130" t="s">
        <v>170</v>
      </c>
      <c r="B83" s="123"/>
      <c r="C83" s="124"/>
      <c r="D83" s="128">
        <f>-PPMT($B$40,D73,$B$38,$B$42*$C$77)</f>
        <v>-308802.04281682667</v>
      </c>
      <c r="E83" s="128">
        <f t="shared" ref="E83:M83" si="6">-PPMT($B$40,E73,$B$38,$B$42*$C$77)</f>
        <v>-326558.16027879418</v>
      </c>
      <c r="F83" s="128">
        <f t="shared" si="6"/>
        <v>-345335.25449482485</v>
      </c>
      <c r="G83" s="128">
        <f t="shared" si="6"/>
        <v>-365192.03162827727</v>
      </c>
      <c r="H83" s="128">
        <f t="shared" si="6"/>
        <v>-386190.5734469032</v>
      </c>
      <c r="I83" s="128">
        <f t="shared" si="6"/>
        <v>-408396.53142010013</v>
      </c>
      <c r="J83" s="128">
        <f t="shared" si="6"/>
        <v>-431879.33197675593</v>
      </c>
      <c r="K83" s="128">
        <f t="shared" si="6"/>
        <v>-456712.39356541942</v>
      </c>
      <c r="L83" s="128">
        <f t="shared" si="6"/>
        <v>-482973.35619543103</v>
      </c>
      <c r="M83" s="128">
        <f t="shared" si="6"/>
        <v>-510744.32417666831</v>
      </c>
      <c r="N83" s="128"/>
      <c r="O83" s="128"/>
      <c r="P83" s="128"/>
      <c r="Q83" s="128"/>
      <c r="R83" s="128"/>
    </row>
    <row r="84" spans="1:18" s="134" customFormat="1" ht="14.25" customHeight="1" x14ac:dyDescent="0.3">
      <c r="A84" s="124" t="s">
        <v>171</v>
      </c>
      <c r="B84" s="131"/>
      <c r="C84" s="122"/>
      <c r="D84" s="128">
        <f>SUM(D82:D83)</f>
        <v>-540112.12281682668</v>
      </c>
      <c r="E84" s="128">
        <f t="shared" ref="E84:M84" si="7">SUM(E82:E83)</f>
        <v>-540112.12281682668</v>
      </c>
      <c r="F84" s="128">
        <f>SUM(F82:F83)</f>
        <v>-540112.12281682668</v>
      </c>
      <c r="G84" s="128">
        <f t="shared" si="7"/>
        <v>-540112.12281682668</v>
      </c>
      <c r="H84" s="128">
        <f t="shared" si="7"/>
        <v>-540112.12281682668</v>
      </c>
      <c r="I84" s="128">
        <f t="shared" si="7"/>
        <v>-540112.12281682668</v>
      </c>
      <c r="J84" s="128">
        <f t="shared" si="7"/>
        <v>-540112.12281682668</v>
      </c>
      <c r="K84" s="128">
        <f t="shared" si="7"/>
        <v>-540112.12281682668</v>
      </c>
      <c r="L84" s="128">
        <f t="shared" si="7"/>
        <v>-540112.12281682668</v>
      </c>
      <c r="M84" s="128">
        <f t="shared" si="7"/>
        <v>-540112.12281682668</v>
      </c>
      <c r="N84" s="128"/>
      <c r="O84" s="128"/>
      <c r="P84" s="128"/>
      <c r="Q84" s="128"/>
      <c r="R84" s="128"/>
    </row>
    <row r="85" spans="1:18" s="133" customFormat="1" ht="14.25" customHeight="1" x14ac:dyDescent="0.3">
      <c r="A85" s="126" t="s">
        <v>172</v>
      </c>
      <c r="B85" s="126"/>
      <c r="C85" s="126"/>
      <c r="D85" s="126"/>
      <c r="E85" s="126"/>
      <c r="F85" s="126"/>
      <c r="G85" s="126"/>
      <c r="H85" s="126"/>
      <c r="I85" s="126"/>
      <c r="J85" s="126"/>
      <c r="K85" s="126"/>
      <c r="L85" s="126"/>
      <c r="M85" s="126"/>
      <c r="N85" s="126"/>
      <c r="O85" s="126"/>
      <c r="P85" s="126"/>
      <c r="Q85" s="126"/>
      <c r="R85" s="126"/>
    </row>
    <row r="86" spans="1:18" s="133" customFormat="1" ht="14.25" customHeight="1" x14ac:dyDescent="0.3">
      <c r="A86" s="124" t="s">
        <v>173</v>
      </c>
      <c r="B86" s="123"/>
      <c r="C86" s="124"/>
      <c r="D86" s="128">
        <f>D78+D79+D81+D82</f>
        <v>-1491530.7744924002</v>
      </c>
      <c r="E86" s="128">
        <f t="shared" ref="E86:L86" si="8">E78+E79+E81+E82</f>
        <v>-1485155.0709202806</v>
      </c>
      <c r="F86" s="128">
        <f t="shared" si="8"/>
        <v>-1477985.9988718948</v>
      </c>
      <c r="G86" s="128">
        <f t="shared" si="8"/>
        <v>-1469969.4043494402</v>
      </c>
      <c r="H86" s="128">
        <f t="shared" si="8"/>
        <v>-1461047.8487940321</v>
      </c>
      <c r="I86" s="128">
        <f t="shared" si="8"/>
        <v>-1451160.4168093172</v>
      </c>
      <c r="J86" s="128">
        <f t="shared" si="8"/>
        <v>-1440242.5127609135</v>
      </c>
      <c r="K86" s="128">
        <f t="shared" si="8"/>
        <v>-1428225.6456106666</v>
      </c>
      <c r="L86" s="128">
        <f t="shared" si="8"/>
        <v>-1415037.2013078404</v>
      </c>
      <c r="M86" s="128">
        <f>M78+M79+M81+M82</f>
        <v>-1400600.202020332</v>
      </c>
      <c r="N86" s="128">
        <f>N78+N79+N81+N82</f>
        <v>0</v>
      </c>
      <c r="O86" s="128">
        <f t="shared" ref="O86:P86" si="9">O78+O79+O81+O82</f>
        <v>0</v>
      </c>
      <c r="P86" s="128">
        <f t="shared" si="9"/>
        <v>0</v>
      </c>
      <c r="Q86" s="128">
        <f>Q78+Q79+Q81+Q82</f>
        <v>0</v>
      </c>
      <c r="R86" s="128">
        <f>R78+R79+R81+R82</f>
        <v>0</v>
      </c>
    </row>
    <row r="87" spans="1:18" s="133" customFormat="1" ht="14.25" customHeight="1" x14ac:dyDescent="0.3">
      <c r="A87" s="124" t="s">
        <v>172</v>
      </c>
      <c r="B87" s="123"/>
      <c r="C87" s="124"/>
      <c r="D87" s="128">
        <f>-D86*$B$44</f>
        <v>372882.69362310006</v>
      </c>
      <c r="E87" s="128">
        <f t="shared" ref="E87:R87" si="10">-E86*$B$44</f>
        <v>371288.76773007016</v>
      </c>
      <c r="F87" s="128">
        <f t="shared" si="10"/>
        <v>369496.4997179737</v>
      </c>
      <c r="G87" s="128">
        <f t="shared" si="10"/>
        <v>367492.35108736006</v>
      </c>
      <c r="H87" s="128">
        <f t="shared" si="10"/>
        <v>365261.96219850803</v>
      </c>
      <c r="I87" s="128">
        <f t="shared" si="10"/>
        <v>362790.1042023293</v>
      </c>
      <c r="J87" s="128">
        <f t="shared" si="10"/>
        <v>360060.62819022837</v>
      </c>
      <c r="K87" s="128">
        <f t="shared" si="10"/>
        <v>357056.41140266665</v>
      </c>
      <c r="L87" s="128">
        <f t="shared" si="10"/>
        <v>353759.3003269601</v>
      </c>
      <c r="M87" s="128">
        <f t="shared" si="10"/>
        <v>350150.050505083</v>
      </c>
      <c r="N87" s="128">
        <f t="shared" si="10"/>
        <v>0</v>
      </c>
      <c r="O87" s="128">
        <f t="shared" si="10"/>
        <v>0</v>
      </c>
      <c r="P87" s="128">
        <f t="shared" si="10"/>
        <v>0</v>
      </c>
      <c r="Q87" s="128">
        <f t="shared" si="10"/>
        <v>0</v>
      </c>
      <c r="R87" s="128">
        <f t="shared" si="10"/>
        <v>0</v>
      </c>
    </row>
    <row r="88" spans="1:18" s="133" customFormat="1" ht="14.25" customHeight="1" x14ac:dyDescent="0.3">
      <c r="A88" s="126" t="s">
        <v>174</v>
      </c>
      <c r="B88" s="126"/>
      <c r="C88" s="126"/>
      <c r="D88" s="126"/>
      <c r="E88" s="126"/>
      <c r="F88" s="126"/>
      <c r="G88" s="126"/>
      <c r="H88" s="126"/>
      <c r="I88" s="126"/>
      <c r="J88" s="126"/>
      <c r="K88" s="126"/>
      <c r="L88" s="126"/>
      <c r="M88" s="126"/>
      <c r="N88" s="126"/>
      <c r="O88" s="126"/>
      <c r="P88" s="126"/>
      <c r="Q88" s="126"/>
      <c r="R88" s="126"/>
    </row>
    <row r="89" spans="1:18" s="133" customFormat="1" ht="14.25" customHeight="1" x14ac:dyDescent="0.3">
      <c r="A89" s="124" t="s">
        <v>175</v>
      </c>
      <c r="B89" s="123"/>
      <c r="C89" s="128">
        <f>C77*B43</f>
        <v>-2889216</v>
      </c>
      <c r="D89" s="128">
        <f>D78+D79+D84+D87</f>
        <v>-736250.12368612678</v>
      </c>
      <c r="E89" s="128">
        <f t="shared" ref="E89:L89" si="11">E78+E79+E84+E87</f>
        <v>-749224.46346900461</v>
      </c>
      <c r="F89" s="128">
        <f t="shared" si="11"/>
        <v>-762624.75364874606</v>
      </c>
      <c r="G89" s="128">
        <f t="shared" si="11"/>
        <v>-776469.08489035734</v>
      </c>
      <c r="H89" s="128">
        <f t="shared" si="11"/>
        <v>-790776.46004242729</v>
      </c>
      <c r="I89" s="128">
        <f t="shared" si="11"/>
        <v>-805566.84402708814</v>
      </c>
      <c r="J89" s="128">
        <f t="shared" si="11"/>
        <v>-820861.21654744109</v>
      </c>
      <c r="K89" s="128">
        <f t="shared" si="11"/>
        <v>-836681.62777341926</v>
      </c>
      <c r="L89" s="128">
        <f t="shared" si="11"/>
        <v>-853051.25717631122</v>
      </c>
      <c r="M89" s="128">
        <f>M78+M79+M84+M87</f>
        <v>-869994.47569191712</v>
      </c>
      <c r="N89" s="128">
        <f t="shared" ref="N89:R89" si="12">N78+N79+N84+N87</f>
        <v>0</v>
      </c>
      <c r="O89" s="128">
        <f t="shared" si="12"/>
        <v>0</v>
      </c>
      <c r="P89" s="128">
        <f t="shared" si="12"/>
        <v>0</v>
      </c>
      <c r="Q89" s="128">
        <f t="shared" si="12"/>
        <v>0</v>
      </c>
      <c r="R89" s="128">
        <f t="shared" si="12"/>
        <v>0</v>
      </c>
    </row>
    <row r="90" spans="1:18" s="133" customFormat="1" ht="14.25" customHeight="1" x14ac:dyDescent="0.3">
      <c r="A90" s="132" t="s">
        <v>176</v>
      </c>
      <c r="B90" s="123"/>
      <c r="C90" s="124"/>
      <c r="D90" s="128">
        <f t="shared" ref="D90:M90" si="13">(1-$B$44)*($B$15*$B$17)</f>
        <v>13500000</v>
      </c>
      <c r="E90" s="128">
        <f t="shared" si="13"/>
        <v>13500000</v>
      </c>
      <c r="F90" s="128">
        <f t="shared" si="13"/>
        <v>13500000</v>
      </c>
      <c r="G90" s="128">
        <f t="shared" si="13"/>
        <v>13500000</v>
      </c>
      <c r="H90" s="128">
        <f t="shared" si="13"/>
        <v>13500000</v>
      </c>
      <c r="I90" s="128">
        <f t="shared" si="13"/>
        <v>13500000</v>
      </c>
      <c r="J90" s="128">
        <f t="shared" si="13"/>
        <v>13500000</v>
      </c>
      <c r="K90" s="128">
        <f t="shared" si="13"/>
        <v>13500000</v>
      </c>
      <c r="L90" s="128">
        <f t="shared" si="13"/>
        <v>13500000</v>
      </c>
      <c r="M90" s="128">
        <f t="shared" si="13"/>
        <v>13500000</v>
      </c>
      <c r="N90" s="128">
        <f>IF($B$37&gt;=N$73,(1-$B$44)*($B$15*$B$17),0)</f>
        <v>0</v>
      </c>
      <c r="O90" s="128">
        <f>IF($B$37&gt;=O$73,(1-$B$44)*($B$15*$B$17),0)</f>
        <v>0</v>
      </c>
      <c r="P90" s="128">
        <f>IF($B$37&gt;=P$73,(1-$B$44)*($B$15*$B$17),0)</f>
        <v>0</v>
      </c>
      <c r="Q90" s="128">
        <f>IF($B$37&gt;=Q$73,(1-$B$44)*($B$15*$B$17),0)</f>
        <v>0</v>
      </c>
      <c r="R90" s="128">
        <f>IF($B$37&gt;=R$73,(1-$B$44)*($B$15*$B$17),0)</f>
        <v>0</v>
      </c>
    </row>
    <row r="91" spans="1:18" s="133" customFormat="1" ht="14.25" customHeight="1" x14ac:dyDescent="0.3">
      <c r="A91" s="124"/>
      <c r="B91" s="123"/>
      <c r="C91" s="124"/>
      <c r="D91" s="128"/>
      <c r="E91" s="128"/>
      <c r="F91" s="128"/>
      <c r="G91" s="128"/>
      <c r="H91" s="128"/>
      <c r="I91" s="128"/>
      <c r="J91" s="128"/>
      <c r="K91" s="128"/>
      <c r="L91" s="128"/>
      <c r="M91" s="128"/>
      <c r="N91" s="128"/>
      <c r="O91" s="128"/>
      <c r="P91" s="124"/>
      <c r="Q91" s="124"/>
      <c r="R91" s="124"/>
    </row>
    <row r="92" spans="1:18" s="133" customFormat="1" ht="14.25" customHeight="1" x14ac:dyDescent="0.3">
      <c r="A92" s="124"/>
      <c r="B92" s="123"/>
      <c r="C92" s="124"/>
      <c r="D92" s="128"/>
      <c r="E92" s="128"/>
      <c r="F92" s="128"/>
      <c r="G92" s="128"/>
      <c r="H92" s="128"/>
      <c r="I92" s="128"/>
      <c r="J92" s="128"/>
      <c r="K92" s="128"/>
      <c r="L92" s="128"/>
      <c r="M92" s="128"/>
      <c r="N92" s="128"/>
      <c r="O92" s="128"/>
      <c r="P92" s="124"/>
      <c r="Q92" s="124"/>
      <c r="R92" s="124"/>
    </row>
    <row r="93" spans="1:18" s="133" customFormat="1" ht="14.25" customHeight="1" x14ac:dyDescent="0.3">
      <c r="A93" s="124"/>
      <c r="B93" s="123"/>
      <c r="C93" s="124"/>
      <c r="D93" s="124"/>
      <c r="E93" s="124"/>
      <c r="F93" s="124"/>
      <c r="G93" s="124"/>
      <c r="H93" s="124"/>
      <c r="I93" s="124"/>
      <c r="J93" s="124"/>
      <c r="K93" s="124"/>
      <c r="L93" s="124"/>
      <c r="M93" s="124"/>
      <c r="N93" s="124"/>
      <c r="O93" s="124"/>
      <c r="P93" s="124"/>
      <c r="Q93" s="124"/>
      <c r="R93" s="124"/>
    </row>
    <row r="94" spans="1:18" s="133" customFormat="1" ht="5.0999999999999996" customHeight="1" x14ac:dyDescent="0.3">
      <c r="B94" s="135"/>
    </row>
    <row r="95" spans="1:18" s="133" customFormat="1" ht="14.25" customHeight="1" x14ac:dyDescent="0.3">
      <c r="B95" s="136" t="s">
        <v>12</v>
      </c>
      <c r="C95" s="137" t="s">
        <v>13</v>
      </c>
    </row>
    <row r="96" spans="1:18" s="133" customFormat="1" ht="14.25" customHeight="1" x14ac:dyDescent="0.3">
      <c r="A96" s="134" t="s">
        <v>177</v>
      </c>
      <c r="B96" s="138">
        <f>ROUND(((-C89-NPV(B41,D89:R89))/NPV(B41,D90:R90)),4)</f>
        <v>9.6100000000000005E-2</v>
      </c>
      <c r="C96" s="133" t="s">
        <v>178</v>
      </c>
    </row>
    <row r="97" spans="1:18" s="133" customFormat="1" ht="14.25" customHeight="1" x14ac:dyDescent="0.3">
      <c r="A97" s="120" t="s">
        <v>77</v>
      </c>
      <c r="B97" s="143">
        <f>B96/B34*1000</f>
        <v>469.0550566185085</v>
      </c>
      <c r="C97" s="120" t="s">
        <v>179</v>
      </c>
    </row>
    <row r="98" spans="1:18" s="133" customFormat="1" ht="5.0999999999999996" customHeight="1" x14ac:dyDescent="0.3">
      <c r="A98" s="134"/>
      <c r="B98" s="139"/>
    </row>
    <row r="99" spans="1:18" s="142" customFormat="1" x14ac:dyDescent="0.2">
      <c r="A99" s="140"/>
      <c r="B99" s="141"/>
      <c r="C99" s="140"/>
      <c r="D99" s="140"/>
      <c r="E99" s="140"/>
      <c r="F99" s="140"/>
      <c r="G99" s="140"/>
      <c r="H99" s="140"/>
      <c r="I99" s="140"/>
      <c r="J99" s="140"/>
      <c r="K99" s="140"/>
      <c r="L99" s="140"/>
      <c r="M99" s="140"/>
      <c r="N99" s="140"/>
      <c r="O99" s="140"/>
      <c r="P99" s="140"/>
      <c r="Q99" s="140"/>
      <c r="R99" s="140"/>
    </row>
    <row r="100" spans="1:18" s="72" customFormat="1" ht="14.25" customHeight="1" x14ac:dyDescent="0.3">
      <c r="A100" s="95" t="s">
        <v>158</v>
      </c>
      <c r="B100" s="96">
        <f>B55+B56</f>
        <v>233.79718303357333</v>
      </c>
      <c r="C100" s="40" t="s">
        <v>91</v>
      </c>
      <c r="D100" s="76"/>
      <c r="E100" s="40"/>
      <c r="F100" s="40"/>
      <c r="G100" s="40"/>
      <c r="H100" s="40"/>
      <c r="I100" s="40"/>
      <c r="J100" s="89"/>
      <c r="K100" s="40"/>
      <c r="L100" s="40"/>
      <c r="M100" s="40"/>
      <c r="N100" s="40"/>
      <c r="O100" s="40"/>
      <c r="P100" s="40"/>
      <c r="Q100" s="40"/>
      <c r="R100" s="40"/>
    </row>
    <row r="101" spans="1:18" s="72" customFormat="1" ht="14.25" customHeight="1" x14ac:dyDescent="0.3">
      <c r="A101" s="95" t="s">
        <v>159</v>
      </c>
      <c r="B101" s="96">
        <f>B55+B57</f>
        <v>173.94040833618951</v>
      </c>
      <c r="C101" s="40" t="s">
        <v>91</v>
      </c>
      <c r="D101" s="76"/>
      <c r="E101" s="40"/>
      <c r="F101" s="40"/>
      <c r="G101" s="40"/>
      <c r="H101" s="40"/>
      <c r="I101" s="40"/>
      <c r="J101" s="89"/>
      <c r="K101" s="40"/>
      <c r="L101" s="40"/>
      <c r="M101" s="40"/>
      <c r="N101" s="40"/>
      <c r="O101" s="40"/>
      <c r="P101" s="40"/>
      <c r="Q101" s="40"/>
      <c r="R101" s="40"/>
    </row>
    <row r="102" spans="1:18" s="72" customFormat="1" ht="14.25" customHeight="1" x14ac:dyDescent="0.3">
      <c r="A102" s="95" t="s">
        <v>160</v>
      </c>
      <c r="B102" s="96">
        <f>B55</f>
        <v>130.25520724286659</v>
      </c>
      <c r="C102" s="40" t="s">
        <v>91</v>
      </c>
      <c r="D102" s="76"/>
      <c r="E102" s="40"/>
      <c r="F102" s="40"/>
      <c r="G102" s="40"/>
      <c r="H102" s="40"/>
      <c r="I102" s="40"/>
      <c r="J102" s="89"/>
      <c r="K102" s="40"/>
      <c r="L102" s="40"/>
      <c r="M102" s="40"/>
      <c r="N102" s="40"/>
      <c r="O102" s="40"/>
      <c r="P102" s="40"/>
      <c r="Q102" s="40"/>
      <c r="R102" s="40"/>
    </row>
    <row r="103" spans="1:18" s="72" customFormat="1" ht="14.25" customHeight="1" x14ac:dyDescent="0.3">
      <c r="A103" s="95"/>
      <c r="B103" s="96"/>
      <c r="C103" s="40"/>
      <c r="D103" s="76"/>
      <c r="E103" s="40"/>
      <c r="F103" s="40"/>
      <c r="G103" s="40"/>
      <c r="H103" s="40"/>
      <c r="I103" s="40"/>
      <c r="J103" s="89"/>
      <c r="K103" s="40"/>
      <c r="L103" s="40"/>
      <c r="M103" s="40"/>
      <c r="N103" s="40"/>
      <c r="O103" s="40"/>
      <c r="P103" s="40"/>
      <c r="Q103" s="40"/>
      <c r="R103" s="40"/>
    </row>
    <row r="104" spans="1:18" s="142" customFormat="1" x14ac:dyDescent="0.2">
      <c r="A104" s="140"/>
      <c r="B104" s="141"/>
      <c r="C104" s="140"/>
      <c r="D104" s="140"/>
      <c r="E104" s="140"/>
      <c r="F104" s="140"/>
      <c r="G104" s="140"/>
      <c r="H104" s="140"/>
      <c r="I104" s="140"/>
      <c r="J104" s="140"/>
      <c r="K104" s="140"/>
      <c r="L104" s="140"/>
      <c r="M104" s="140"/>
      <c r="N104" s="140"/>
      <c r="O104" s="140"/>
      <c r="P104" s="140"/>
      <c r="Q104" s="140"/>
      <c r="R104" s="140"/>
    </row>
    <row r="105" spans="1:18" x14ac:dyDescent="0.2">
      <c r="A105" s="7"/>
      <c r="C105" s="5"/>
      <c r="D105" s="5"/>
      <c r="E105" s="5"/>
      <c r="F105" s="5"/>
      <c r="G105" s="5"/>
      <c r="H105" s="5"/>
      <c r="I105" s="5"/>
      <c r="J105" s="5"/>
    </row>
    <row r="106" spans="1:18" x14ac:dyDescent="0.2">
      <c r="C106" s="5"/>
      <c r="D106" s="5"/>
      <c r="E106" s="5"/>
      <c r="F106" s="5"/>
      <c r="G106" s="5"/>
      <c r="H106" s="5"/>
      <c r="I106" s="5"/>
      <c r="J106" s="5"/>
    </row>
    <row r="107" spans="1:18" x14ac:dyDescent="0.2">
      <c r="C107" s="5"/>
      <c r="D107" s="5"/>
      <c r="E107" s="5"/>
      <c r="F107" s="5"/>
      <c r="G107" s="5"/>
      <c r="H107" s="5"/>
      <c r="I107" s="5"/>
      <c r="J107" s="5"/>
    </row>
    <row r="108" spans="1:18" x14ac:dyDescent="0.2">
      <c r="C108" s="5"/>
      <c r="D108" s="5"/>
      <c r="E108" s="5"/>
      <c r="F108" s="5"/>
      <c r="G108" s="5"/>
      <c r="H108" s="5"/>
      <c r="I108" s="5"/>
      <c r="J108" s="5"/>
    </row>
    <row r="109" spans="1:18" x14ac:dyDescent="0.2">
      <c r="C109" s="5"/>
      <c r="D109" s="5"/>
      <c r="E109" s="5"/>
      <c r="F109" s="5"/>
      <c r="G109" s="5"/>
      <c r="H109" s="5"/>
      <c r="I109" s="5"/>
      <c r="J109" s="5"/>
    </row>
    <row r="110" spans="1:18" x14ac:dyDescent="0.2">
      <c r="C110" s="5"/>
      <c r="D110" s="5"/>
      <c r="E110" s="5"/>
      <c r="F110" s="5"/>
      <c r="G110" s="5"/>
      <c r="H110" s="5"/>
      <c r="I110" s="5"/>
      <c r="J110" s="5"/>
    </row>
    <row r="111" spans="1:18" x14ac:dyDescent="0.2">
      <c r="C111" s="5"/>
      <c r="D111" s="5"/>
      <c r="E111" s="5"/>
      <c r="F111" s="5"/>
      <c r="G111" s="5"/>
      <c r="H111" s="5"/>
      <c r="I111" s="5"/>
      <c r="J111" s="5"/>
    </row>
    <row r="112" spans="1:18" x14ac:dyDescent="0.2">
      <c r="C112" s="5"/>
      <c r="D112" s="5"/>
      <c r="E112" s="5"/>
      <c r="F112" s="5"/>
      <c r="G112" s="5"/>
      <c r="H112" s="5"/>
      <c r="I112" s="5"/>
      <c r="J112" s="5"/>
    </row>
    <row r="113" spans="1:10" x14ac:dyDescent="0.2">
      <c r="C113" s="5"/>
      <c r="D113" s="5"/>
      <c r="E113" s="5"/>
      <c r="F113" s="5"/>
      <c r="G113" s="5"/>
      <c r="H113" s="5"/>
      <c r="I113" s="5"/>
      <c r="J113" s="5"/>
    </row>
    <row r="116" spans="1:10" x14ac:dyDescent="0.2">
      <c r="A116" s="7"/>
      <c r="B116" s="4"/>
    </row>
    <row r="117" spans="1:10" x14ac:dyDescent="0.2">
      <c r="A117" s="7"/>
      <c r="C117" s="5"/>
      <c r="D117" s="5"/>
      <c r="E117" s="5"/>
      <c r="F117" s="5"/>
      <c r="G117" s="5"/>
      <c r="H117" s="5"/>
      <c r="I117" s="5"/>
      <c r="J117" s="5"/>
    </row>
    <row r="118" spans="1:10" x14ac:dyDescent="0.2">
      <c r="C118" s="5"/>
      <c r="D118" s="5"/>
      <c r="E118" s="5"/>
      <c r="F118" s="5"/>
      <c r="G118" s="5"/>
      <c r="H118" s="5"/>
      <c r="I118" s="5"/>
      <c r="J118" s="5"/>
    </row>
    <row r="119" spans="1:10" x14ac:dyDescent="0.2">
      <c r="C119" s="5"/>
      <c r="D119" s="5"/>
      <c r="E119" s="5"/>
      <c r="F119" s="5"/>
      <c r="G119" s="5"/>
      <c r="H119" s="5"/>
      <c r="I119" s="5"/>
      <c r="J119" s="5"/>
    </row>
    <row r="120" spans="1:10" x14ac:dyDescent="0.2">
      <c r="C120" s="5"/>
      <c r="D120" s="5"/>
      <c r="E120" s="5"/>
      <c r="F120" s="5"/>
      <c r="G120" s="5"/>
      <c r="H120" s="5"/>
      <c r="I120" s="5"/>
      <c r="J120" s="5"/>
    </row>
    <row r="121" spans="1:10" x14ac:dyDescent="0.2">
      <c r="C121" s="5"/>
      <c r="D121" s="5"/>
      <c r="E121" s="5"/>
      <c r="F121" s="5"/>
      <c r="G121" s="5"/>
      <c r="H121" s="5"/>
      <c r="I121" s="5"/>
      <c r="J121" s="5"/>
    </row>
    <row r="122" spans="1:10" x14ac:dyDescent="0.2">
      <c r="C122" s="5"/>
      <c r="D122" s="5"/>
      <c r="E122" s="5"/>
      <c r="F122" s="5"/>
      <c r="G122" s="5"/>
      <c r="H122" s="5"/>
      <c r="I122" s="5"/>
      <c r="J122" s="5"/>
    </row>
    <row r="123" spans="1:10" x14ac:dyDescent="0.2">
      <c r="C123" s="5"/>
      <c r="D123" s="5"/>
      <c r="E123" s="5"/>
      <c r="F123" s="5"/>
      <c r="G123" s="5"/>
      <c r="H123" s="5"/>
      <c r="I123" s="5"/>
      <c r="J123" s="5"/>
    </row>
    <row r="124" spans="1:10" x14ac:dyDescent="0.2">
      <c r="C124" s="5"/>
      <c r="D124" s="5"/>
      <c r="E124" s="5"/>
      <c r="F124" s="5"/>
      <c r="G124" s="5"/>
      <c r="H124" s="5"/>
      <c r="I124" s="5"/>
      <c r="J124" s="5"/>
    </row>
    <row r="128" spans="1:10" x14ac:dyDescent="0.2">
      <c r="B128" s="4"/>
    </row>
    <row r="129" spans="1:10" x14ac:dyDescent="0.2">
      <c r="A129" s="7"/>
      <c r="C129" s="9"/>
      <c r="D129" s="9"/>
      <c r="E129" s="9"/>
      <c r="F129" s="9"/>
      <c r="G129" s="9"/>
      <c r="H129" s="9"/>
    </row>
    <row r="130" spans="1:10" x14ac:dyDescent="0.2">
      <c r="C130" s="9"/>
      <c r="D130" s="9"/>
      <c r="E130" s="9"/>
      <c r="F130" s="9"/>
      <c r="G130" s="9"/>
      <c r="H130" s="9"/>
    </row>
    <row r="131" spans="1:10" x14ac:dyDescent="0.2">
      <c r="C131" s="9"/>
      <c r="D131" s="9"/>
      <c r="E131" s="9"/>
      <c r="F131" s="9"/>
      <c r="G131" s="9"/>
      <c r="H131" s="9"/>
    </row>
    <row r="132" spans="1:10" x14ac:dyDescent="0.2">
      <c r="C132" s="9"/>
      <c r="D132" s="9"/>
      <c r="E132" s="9"/>
      <c r="F132" s="9"/>
      <c r="G132" s="9"/>
      <c r="H132" s="9"/>
    </row>
    <row r="133" spans="1:10" x14ac:dyDescent="0.2">
      <c r="C133" s="9"/>
      <c r="D133" s="9"/>
      <c r="E133" s="9"/>
      <c r="F133" s="9"/>
      <c r="G133" s="9"/>
      <c r="H133" s="9"/>
    </row>
    <row r="134" spans="1:10" x14ac:dyDescent="0.2">
      <c r="A134" s="7"/>
      <c r="C134" s="9"/>
      <c r="D134" s="9"/>
      <c r="E134" s="9"/>
      <c r="F134" s="9"/>
      <c r="G134" s="9"/>
      <c r="H134" s="9"/>
      <c r="I134" s="5"/>
      <c r="J134" s="5"/>
    </row>
    <row r="135" spans="1:10" x14ac:dyDescent="0.2">
      <c r="C135" s="9"/>
      <c r="D135" s="9"/>
      <c r="E135" s="9"/>
      <c r="F135" s="9"/>
      <c r="G135" s="9"/>
      <c r="H135" s="9"/>
      <c r="I135" s="5"/>
      <c r="J135" s="5"/>
    </row>
    <row r="136" spans="1:10" x14ac:dyDescent="0.2">
      <c r="C136" s="9"/>
      <c r="D136" s="9"/>
      <c r="E136" s="9"/>
      <c r="F136" s="9"/>
      <c r="G136" s="9"/>
      <c r="H136" s="9"/>
      <c r="I136" s="5"/>
      <c r="J136" s="5"/>
    </row>
    <row r="137" spans="1:10" x14ac:dyDescent="0.2">
      <c r="C137" s="9"/>
      <c r="D137" s="9"/>
      <c r="E137" s="9"/>
      <c r="F137" s="9"/>
      <c r="G137" s="9"/>
      <c r="H137" s="9"/>
      <c r="I137" s="5"/>
      <c r="J137" s="5"/>
    </row>
    <row r="138" spans="1:10" x14ac:dyDescent="0.2">
      <c r="C138" s="9"/>
      <c r="D138" s="9"/>
      <c r="E138" s="9"/>
      <c r="F138" s="9"/>
      <c r="G138" s="9"/>
      <c r="H138" s="9"/>
      <c r="I138" s="5"/>
      <c r="J138" s="5"/>
    </row>
    <row r="139" spans="1:10" x14ac:dyDescent="0.2">
      <c r="C139" s="9"/>
      <c r="D139" s="9"/>
      <c r="E139" s="9"/>
      <c r="F139" s="9"/>
      <c r="G139" s="9"/>
      <c r="H139" s="9"/>
      <c r="I139" s="5"/>
      <c r="J139" s="5"/>
    </row>
    <row r="140" spans="1:10" x14ac:dyDescent="0.2">
      <c r="C140" s="9"/>
      <c r="D140" s="9"/>
      <c r="E140" s="9"/>
      <c r="F140" s="9"/>
      <c r="G140" s="9"/>
      <c r="H140" s="9"/>
      <c r="I140" s="5"/>
      <c r="J140" s="5"/>
    </row>
    <row r="141" spans="1:10" ht="14.4" x14ac:dyDescent="0.3">
      <c r="B141" s="8"/>
      <c r="C141" s="5"/>
      <c r="D141" s="5"/>
      <c r="E141" s="5"/>
      <c r="F141" s="5"/>
      <c r="G141" s="5"/>
      <c r="H141" s="5"/>
      <c r="I141" s="5"/>
      <c r="J141" s="5"/>
    </row>
    <row r="142" spans="1:10" ht="14.4" x14ac:dyDescent="0.3">
      <c r="B142" s="8"/>
      <c r="C142" s="5"/>
      <c r="D142" s="5"/>
      <c r="E142" s="5"/>
      <c r="F142" s="5"/>
      <c r="G142" s="5"/>
      <c r="H142" s="5"/>
      <c r="I142" s="5"/>
      <c r="J142" s="5"/>
    </row>
    <row r="143" spans="1:10" ht="14.4" x14ac:dyDescent="0.3">
      <c r="B143" s="8"/>
    </row>
  </sheetData>
  <sheetProtection algorithmName="SHA-512" hashValue="rrsQBoNgFpH+Kq0/qqJ+2VpnBkqqrMm4SilFnXQH/ccH2kSlMeIle4NoZc9rXzSi4puHAKFHRnd5DRCcYC2w6w==" saltValue="weEJ8qOJCL432a/uwDASXA==" spinCount="100000" sheet="1" objects="1" scenarios="1"/>
  <mergeCells count="2">
    <mergeCell ref="A10:R10"/>
    <mergeCell ref="A71:R71"/>
  </mergeCells>
  <conditionalFormatting sqref="A14:C14">
    <cfRule type="expression" dxfId="17" priority="3">
      <formula>B14=1</formula>
    </cfRule>
  </conditionalFormatting>
  <conditionalFormatting sqref="A16:D16">
    <cfRule type="expression" dxfId="16" priority="2">
      <formula>$B$16=1</formula>
    </cfRule>
  </conditionalFormatting>
  <conditionalFormatting sqref="P78:R79 P86:R87 P89:R90">
    <cfRule type="cellIs" dxfId="15" priority="1" operator="equal">
      <formula>0</formula>
    </cfRule>
  </conditionalFormatting>
  <dataValidations count="1">
    <dataValidation type="list" allowBlank="1" showInputMessage="1" showErrorMessage="1" sqref="A5:A6" xr:uid="{825759BD-F150-4322-A1FA-3E5B89A076A9}">
      <formula1>INDIRECT("tech_param[Technologie]")</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1B001-E0A7-4A78-B2A8-88178F58C1AE}">
  <sheetPr>
    <tabColor rgb="FF009B48"/>
  </sheetPr>
  <dimension ref="A1:R143"/>
  <sheetViews>
    <sheetView showGridLines="0" topLeftCell="A61" workbookViewId="0">
      <selection activeCell="A7" sqref="A7"/>
    </sheetView>
  </sheetViews>
  <sheetFormatPr defaultColWidth="8.88671875" defaultRowHeight="11.4" x14ac:dyDescent="0.2"/>
  <cols>
    <col min="1" max="1" width="55.6640625" style="1" customWidth="1"/>
    <col min="2" max="2" width="18.33203125" style="3" customWidth="1"/>
    <col min="3" max="3" width="15" style="1" customWidth="1"/>
    <col min="4" max="13" width="11.6640625" style="1" customWidth="1"/>
    <col min="14" max="15" width="11.6640625" style="1" hidden="1" customWidth="1"/>
    <col min="16" max="16" width="11.33203125" style="1" hidden="1" customWidth="1"/>
    <col min="17" max="18" width="12" style="1" hidden="1" customWidth="1"/>
    <col min="19" max="16384" width="8.88671875" style="21"/>
  </cols>
  <sheetData>
    <row r="1" spans="1:18" s="10" customFormat="1" ht="14.25" customHeight="1" x14ac:dyDescent="0.2">
      <c r="A1" s="64"/>
      <c r="B1" s="63"/>
      <c r="C1" s="63"/>
      <c r="D1" s="63"/>
      <c r="E1" s="63"/>
      <c r="F1" s="63"/>
      <c r="G1" s="63"/>
      <c r="H1" s="63"/>
      <c r="I1" s="63"/>
      <c r="J1" s="63"/>
      <c r="K1" s="63"/>
      <c r="L1" s="63"/>
      <c r="M1" s="63"/>
      <c r="N1" s="63"/>
      <c r="O1" s="63"/>
      <c r="P1" s="63"/>
      <c r="Q1" s="63"/>
      <c r="R1" s="63"/>
    </row>
    <row r="2" spans="1:18" s="16" customFormat="1" ht="28.2" customHeight="1" x14ac:dyDescent="0.3">
      <c r="A2" s="71" t="s">
        <v>0</v>
      </c>
      <c r="B2" s="63"/>
      <c r="C2" s="63"/>
      <c r="D2" s="63"/>
      <c r="E2" s="63"/>
      <c r="F2" s="63"/>
      <c r="G2" s="63"/>
      <c r="H2" s="63"/>
      <c r="I2" s="63"/>
      <c r="J2" s="63"/>
      <c r="K2" s="63"/>
      <c r="L2" s="63"/>
      <c r="M2" s="63"/>
      <c r="N2" s="63"/>
      <c r="O2" s="63"/>
      <c r="P2" s="63"/>
      <c r="Q2" s="63"/>
      <c r="R2" s="63"/>
    </row>
    <row r="3" spans="1:18" s="10" customFormat="1" ht="14.25" customHeight="1" x14ac:dyDescent="0.2">
      <c r="A3" s="63"/>
      <c r="B3" s="63"/>
      <c r="C3" s="63"/>
      <c r="D3" s="63"/>
      <c r="E3" s="63"/>
      <c r="F3" s="63"/>
      <c r="G3" s="63"/>
      <c r="H3" s="63"/>
      <c r="I3" s="63"/>
      <c r="J3" s="63"/>
      <c r="K3" s="63"/>
      <c r="L3" s="63"/>
      <c r="M3" s="63"/>
      <c r="N3" s="63"/>
      <c r="O3" s="63"/>
      <c r="P3" s="63"/>
      <c r="Q3" s="63"/>
      <c r="R3" s="63"/>
    </row>
    <row r="4" spans="1:18" s="14" customFormat="1" ht="14.25" customHeight="1" x14ac:dyDescent="0.3">
      <c r="A4" s="11"/>
      <c r="B4" s="12"/>
      <c r="C4" s="11"/>
      <c r="D4" s="11"/>
      <c r="E4" s="11"/>
      <c r="F4" s="11"/>
      <c r="G4" s="11"/>
      <c r="H4" s="11"/>
      <c r="I4" s="11"/>
      <c r="J4" s="11"/>
      <c r="K4" s="11"/>
      <c r="L4" s="11"/>
      <c r="M4" s="11"/>
      <c r="N4" s="11"/>
      <c r="O4" s="11"/>
      <c r="P4" s="11"/>
      <c r="Q4" s="11"/>
      <c r="R4" s="11"/>
    </row>
    <row r="5" spans="1:18" s="20" customFormat="1" ht="28.8" x14ac:dyDescent="0.2">
      <c r="A5" s="113" t="s">
        <v>96</v>
      </c>
      <c r="B5" s="112"/>
      <c r="C5" s="112"/>
      <c r="D5" s="112"/>
      <c r="E5" s="112"/>
      <c r="F5" s="112"/>
      <c r="G5" s="112"/>
      <c r="H5" s="112"/>
      <c r="I5" s="112"/>
      <c r="J5" s="112"/>
      <c r="K5" s="112"/>
      <c r="L5" s="112"/>
      <c r="M5" s="112"/>
      <c r="N5" s="112"/>
      <c r="O5" s="112"/>
      <c r="P5" s="112"/>
      <c r="Q5" s="112"/>
      <c r="R5" s="112"/>
    </row>
    <row r="6" spans="1:18" s="95" customFormat="1" ht="5.0999999999999996" customHeight="1" x14ac:dyDescent="0.3">
      <c r="A6" s="114"/>
      <c r="B6" s="98"/>
      <c r="C6" s="98"/>
      <c r="D6" s="98"/>
      <c r="E6" s="98"/>
      <c r="F6" s="98"/>
      <c r="G6" s="98"/>
      <c r="H6" s="98"/>
      <c r="I6" s="98"/>
      <c r="J6" s="98"/>
      <c r="K6" s="98"/>
      <c r="L6" s="98"/>
      <c r="M6" s="98"/>
      <c r="N6" s="98"/>
      <c r="O6" s="98"/>
    </row>
    <row r="7" spans="1:18" s="24" customFormat="1" ht="14.25" customHeight="1" x14ac:dyDescent="0.3">
      <c r="A7" s="22"/>
      <c r="B7" s="23"/>
      <c r="C7" s="17"/>
      <c r="D7" s="17"/>
      <c r="E7" s="17"/>
      <c r="F7" s="17"/>
      <c r="G7" s="17"/>
      <c r="H7" s="17"/>
      <c r="I7" s="17"/>
      <c r="J7" s="17"/>
      <c r="K7" s="17"/>
      <c r="L7" s="17"/>
      <c r="M7" s="17"/>
      <c r="N7" s="17"/>
      <c r="O7" s="17"/>
      <c r="P7" s="17"/>
      <c r="Q7" s="17"/>
      <c r="R7" s="17"/>
    </row>
    <row r="8" spans="1:18" s="14" customFormat="1" ht="14.25" customHeight="1" x14ac:dyDescent="0.3">
      <c r="A8" s="11"/>
      <c r="B8" s="12"/>
      <c r="C8" s="11"/>
      <c r="D8" s="11"/>
      <c r="E8" s="11"/>
      <c r="F8" s="11"/>
      <c r="G8" s="11"/>
      <c r="H8" s="11"/>
      <c r="I8" s="11"/>
      <c r="J8" s="11"/>
      <c r="K8" s="11"/>
      <c r="L8" s="11"/>
      <c r="M8" s="11"/>
      <c r="N8" s="11"/>
      <c r="O8" s="11"/>
      <c r="P8" s="11"/>
      <c r="Q8" s="11"/>
      <c r="R8" s="11"/>
    </row>
    <row r="9" spans="1:18" s="117" customFormat="1" ht="14.25" customHeight="1" x14ac:dyDescent="0.3">
      <c r="A9" s="116" t="s">
        <v>102</v>
      </c>
      <c r="B9" s="116"/>
      <c r="C9" s="116"/>
      <c r="D9" s="116"/>
      <c r="E9" s="116"/>
      <c r="F9" s="116"/>
      <c r="G9" s="116"/>
      <c r="H9" s="116"/>
      <c r="I9" s="116"/>
      <c r="J9" s="116"/>
      <c r="K9" s="116"/>
    </row>
    <row r="10" spans="1:18" s="95" customFormat="1" ht="14.25" customHeight="1" x14ac:dyDescent="0.3">
      <c r="A10" s="166" t="s">
        <v>1</v>
      </c>
      <c r="B10" s="167"/>
      <c r="C10" s="167"/>
      <c r="D10" s="167"/>
      <c r="E10" s="167"/>
      <c r="F10" s="167"/>
      <c r="G10" s="167"/>
      <c r="H10" s="167"/>
      <c r="I10" s="167"/>
      <c r="J10" s="167"/>
      <c r="K10" s="167"/>
      <c r="L10" s="167"/>
      <c r="M10" s="167"/>
      <c r="N10" s="167"/>
      <c r="O10" s="168"/>
      <c r="P10" s="168"/>
      <c r="Q10" s="168"/>
      <c r="R10" s="168"/>
    </row>
    <row r="11" spans="1:18" s="72" customFormat="1" ht="14.25" customHeight="1" x14ac:dyDescent="0.3">
      <c r="A11" s="73"/>
      <c r="B11" s="74"/>
      <c r="C11" s="40"/>
      <c r="D11" s="40"/>
      <c r="E11" s="40"/>
      <c r="F11" s="40"/>
      <c r="G11" s="40"/>
      <c r="H11" s="40"/>
      <c r="I11" s="40"/>
      <c r="J11" s="40"/>
      <c r="K11" s="40"/>
      <c r="L11" s="40"/>
      <c r="M11" s="40"/>
      <c r="N11" s="40"/>
      <c r="O11" s="40"/>
      <c r="P11" s="40"/>
      <c r="Q11" s="40"/>
      <c r="R11" s="40"/>
    </row>
    <row r="12" spans="1:18" s="109" customFormat="1" ht="14.25" customHeight="1" x14ac:dyDescent="0.3">
      <c r="A12" s="108" t="s">
        <v>103</v>
      </c>
      <c r="B12" s="50" t="s">
        <v>12</v>
      </c>
      <c r="C12" s="108" t="s">
        <v>13</v>
      </c>
      <c r="D12" s="108"/>
      <c r="E12" s="54"/>
      <c r="F12" s="54"/>
      <c r="G12" s="54"/>
      <c r="H12" s="54"/>
      <c r="I12" s="54"/>
      <c r="J12" s="54"/>
      <c r="K12" s="54"/>
      <c r="L12" s="54"/>
      <c r="M12" s="54"/>
      <c r="N12" s="54"/>
      <c r="O12" s="54"/>
      <c r="P12" s="54"/>
      <c r="Q12" s="54"/>
      <c r="R12" s="54"/>
    </row>
    <row r="13" spans="1:18" s="72" customFormat="1" ht="14.25" customHeight="1" x14ac:dyDescent="0.3">
      <c r="A13" s="40" t="s">
        <v>65</v>
      </c>
      <c r="B13" s="62">
        <f>VLOOKUP($A$5,tech_param[],3,FALSE)</f>
        <v>800</v>
      </c>
      <c r="C13" s="40" t="s">
        <v>104</v>
      </c>
      <c r="D13" s="76"/>
      <c r="E13" s="40"/>
      <c r="F13" s="40"/>
      <c r="G13" s="40"/>
      <c r="H13" s="40"/>
      <c r="I13" s="40"/>
      <c r="J13" s="40"/>
      <c r="K13" s="40"/>
      <c r="L13" s="40"/>
      <c r="M13" s="40"/>
      <c r="N13" s="40"/>
      <c r="O13" s="40"/>
      <c r="P13" s="40"/>
      <c r="Q13" s="40"/>
      <c r="R13" s="40"/>
    </row>
    <row r="14" spans="1:18" s="72" customFormat="1" ht="14.25" customHeight="1" x14ac:dyDescent="0.3">
      <c r="A14" s="40" t="s">
        <v>105</v>
      </c>
      <c r="B14" s="45">
        <f>VLOOKUP($A$5,tech_param[],4,FALSE)</f>
        <v>1</v>
      </c>
      <c r="C14" s="40" t="s">
        <v>106</v>
      </c>
      <c r="D14" s="76"/>
      <c r="E14" s="40"/>
      <c r="F14" s="40"/>
      <c r="G14" s="40"/>
      <c r="H14" s="40"/>
      <c r="I14" s="40"/>
      <c r="J14" s="40"/>
      <c r="K14" s="40"/>
      <c r="L14" s="40"/>
      <c r="M14" s="40"/>
      <c r="N14" s="40"/>
      <c r="O14" s="40"/>
      <c r="P14" s="40"/>
      <c r="Q14" s="40"/>
      <c r="R14" s="40"/>
    </row>
    <row r="15" spans="1:18" s="72" customFormat="1" ht="14.25" customHeight="1" x14ac:dyDescent="0.3">
      <c r="A15" s="40" t="s">
        <v>107</v>
      </c>
      <c r="B15" s="77">
        <f>B13*B14*B16</f>
        <v>4000</v>
      </c>
      <c r="C15" s="40" t="s">
        <v>108</v>
      </c>
      <c r="D15" s="76"/>
      <c r="E15" s="40"/>
      <c r="F15" s="40"/>
      <c r="G15" s="40"/>
      <c r="H15" s="40"/>
      <c r="I15" s="40"/>
      <c r="J15" s="40"/>
      <c r="K15" s="40"/>
      <c r="L15" s="40"/>
      <c r="M15" s="40"/>
      <c r="N15" s="40"/>
      <c r="O15" s="40"/>
      <c r="P15" s="40"/>
      <c r="Q15" s="40"/>
      <c r="R15" s="40"/>
    </row>
    <row r="16" spans="1:18" s="72" customFormat="1" ht="14.25" customHeight="1" x14ac:dyDescent="0.3">
      <c r="A16" s="40" t="s">
        <v>109</v>
      </c>
      <c r="B16" s="78">
        <f>VLOOKUP($A$5,tech_param[],5,FALSE)</f>
        <v>5</v>
      </c>
      <c r="C16" s="79" t="s">
        <v>110</v>
      </c>
      <c r="D16" s="153" t="s">
        <v>111</v>
      </c>
      <c r="E16" s="40"/>
      <c r="F16" s="40"/>
      <c r="G16" s="40"/>
      <c r="H16" s="40"/>
      <c r="I16" s="40"/>
      <c r="J16" s="40"/>
      <c r="K16" s="40"/>
      <c r="L16" s="40"/>
      <c r="M16" s="40"/>
      <c r="N16" s="40"/>
      <c r="O16" s="40"/>
      <c r="P16" s="40"/>
      <c r="Q16" s="40"/>
      <c r="R16" s="40"/>
    </row>
    <row r="17" spans="1:18" s="72" customFormat="1" ht="14.25" customHeight="1" x14ac:dyDescent="0.3">
      <c r="A17" s="40" t="s">
        <v>112</v>
      </c>
      <c r="B17" s="62">
        <f>VLOOKUP($A$5,tech_param[],6,FALSE)</f>
        <v>5500</v>
      </c>
      <c r="C17" s="40" t="s">
        <v>113</v>
      </c>
      <c r="D17" s="76"/>
      <c r="E17" s="40"/>
      <c r="F17" s="40"/>
      <c r="G17" s="40"/>
      <c r="H17" s="40"/>
      <c r="I17" s="40"/>
      <c r="J17" s="40"/>
      <c r="K17" s="40"/>
      <c r="L17" s="40"/>
      <c r="M17" s="40"/>
      <c r="N17" s="40"/>
      <c r="O17" s="40"/>
      <c r="P17" s="40"/>
      <c r="Q17" s="40"/>
      <c r="R17" s="40"/>
    </row>
    <row r="18" spans="1:18" s="72" customFormat="1" ht="14.25" customHeight="1" x14ac:dyDescent="0.3">
      <c r="A18" s="40" t="s">
        <v>114</v>
      </c>
      <c r="B18" s="77">
        <f>(B13*B17)/1000</f>
        <v>4400</v>
      </c>
      <c r="C18" s="40" t="s">
        <v>115</v>
      </c>
      <c r="D18" s="76"/>
      <c r="E18" s="40"/>
      <c r="F18" s="40"/>
      <c r="G18" s="40"/>
      <c r="H18" s="40"/>
      <c r="I18" s="40"/>
      <c r="J18" s="40"/>
      <c r="K18" s="40"/>
      <c r="L18" s="40"/>
      <c r="M18" s="40"/>
      <c r="N18" s="40"/>
      <c r="O18" s="40"/>
      <c r="P18" s="40"/>
      <c r="Q18" s="40"/>
      <c r="R18" s="40"/>
    </row>
    <row r="19" spans="1:18" s="72" customFormat="1" ht="14.25" customHeight="1" x14ac:dyDescent="0.3">
      <c r="A19" s="40"/>
      <c r="B19" s="74"/>
      <c r="C19" s="40"/>
      <c r="D19" s="76"/>
      <c r="E19" s="40"/>
      <c r="F19" s="40"/>
      <c r="G19" s="40"/>
      <c r="H19" s="40"/>
      <c r="I19" s="40"/>
      <c r="J19" s="40"/>
      <c r="K19" s="40"/>
      <c r="L19" s="40"/>
      <c r="M19" s="40"/>
      <c r="N19" s="40"/>
      <c r="O19" s="40"/>
      <c r="P19" s="40"/>
      <c r="Q19" s="40"/>
      <c r="R19" s="40"/>
    </row>
    <row r="20" spans="1:18" s="109" customFormat="1" ht="14.25" customHeight="1" x14ac:dyDescent="0.3">
      <c r="A20" s="108" t="s">
        <v>116</v>
      </c>
      <c r="B20" s="50" t="s">
        <v>12</v>
      </c>
      <c r="C20" s="108" t="s">
        <v>13</v>
      </c>
      <c r="D20" s="76"/>
      <c r="E20" s="40"/>
      <c r="F20" s="54"/>
      <c r="G20" s="54"/>
      <c r="H20" s="54"/>
      <c r="I20" s="54"/>
      <c r="J20" s="54"/>
      <c r="K20" s="54"/>
      <c r="L20" s="54"/>
      <c r="M20" s="54"/>
      <c r="N20" s="54"/>
      <c r="O20" s="54"/>
      <c r="P20" s="54"/>
      <c r="Q20" s="54"/>
      <c r="R20" s="54"/>
    </row>
    <row r="21" spans="1:18" s="72" customFormat="1" ht="14.25" customHeight="1" x14ac:dyDescent="0.3">
      <c r="A21" s="79" t="s">
        <v>117</v>
      </c>
      <c r="B21" s="42">
        <f>VLOOKUP($A$5,tech_param[],7,FALSE)</f>
        <v>1152</v>
      </c>
      <c r="C21" s="40" t="s">
        <v>118</v>
      </c>
      <c r="D21" s="80"/>
      <c r="E21" s="40"/>
      <c r="F21" s="40"/>
      <c r="G21" s="40"/>
      <c r="H21" s="40"/>
      <c r="I21" s="40"/>
      <c r="J21" s="40"/>
      <c r="K21" s="40"/>
      <c r="L21" s="40"/>
      <c r="M21" s="40"/>
      <c r="N21" s="40"/>
      <c r="O21" s="40"/>
      <c r="P21" s="40"/>
      <c r="Q21" s="40"/>
      <c r="R21" s="40"/>
    </row>
    <row r="22" spans="1:18" s="72" customFormat="1" ht="14.25" customHeight="1" x14ac:dyDescent="0.3">
      <c r="A22" s="40" t="s">
        <v>119</v>
      </c>
      <c r="B22" s="77">
        <f>B21*B15</f>
        <v>4608000</v>
      </c>
      <c r="C22" s="40" t="s">
        <v>120</v>
      </c>
      <c r="D22" s="76"/>
      <c r="E22" s="40"/>
      <c r="F22" s="40"/>
      <c r="G22" s="40"/>
      <c r="H22" s="40"/>
      <c r="I22" s="40"/>
      <c r="J22" s="40"/>
      <c r="K22" s="40"/>
      <c r="L22" s="40"/>
      <c r="M22" s="40"/>
      <c r="N22" s="40"/>
      <c r="O22" s="40"/>
      <c r="P22" s="40"/>
      <c r="Q22" s="40"/>
      <c r="R22" s="40"/>
    </row>
    <row r="23" spans="1:18" s="72" customFormat="1" ht="14.25" customHeight="1" x14ac:dyDescent="0.3">
      <c r="A23" s="79" t="s">
        <v>121</v>
      </c>
      <c r="B23" s="81">
        <f>VLOOKUP($A$5,tech_param[],9,FALSE)*VLOOKUP($A$5,tech_param[],10,FALSE)</f>
        <v>49.728376915919995</v>
      </c>
      <c r="C23" s="40" t="s">
        <v>183</v>
      </c>
      <c r="D23" s="76"/>
      <c r="E23" s="40"/>
      <c r="F23" s="40"/>
      <c r="G23" s="40"/>
      <c r="H23" s="40"/>
      <c r="I23" s="40"/>
      <c r="J23" s="40"/>
      <c r="K23" s="40"/>
      <c r="L23" s="40"/>
      <c r="M23" s="40"/>
      <c r="N23" s="40"/>
      <c r="O23" s="40"/>
      <c r="P23" s="40"/>
      <c r="Q23" s="40"/>
      <c r="R23" s="40"/>
    </row>
    <row r="24" spans="1:18" s="72" customFormat="1" ht="14.25" customHeight="1" x14ac:dyDescent="0.3">
      <c r="A24" s="79" t="s">
        <v>122</v>
      </c>
      <c r="B24" s="77">
        <f>VLOOKUP($A$5,tech_param[],8,FALSE)*B22/100</f>
        <v>184320</v>
      </c>
      <c r="C24" s="40" t="s">
        <v>123</v>
      </c>
      <c r="D24" s="76"/>
      <c r="E24" s="40"/>
      <c r="F24" s="40"/>
      <c r="G24" s="40"/>
      <c r="H24" s="40"/>
      <c r="I24" s="40"/>
      <c r="J24" s="40"/>
      <c r="K24" s="40"/>
      <c r="L24" s="40"/>
      <c r="M24" s="40"/>
      <c r="N24" s="40"/>
      <c r="O24" s="40"/>
      <c r="P24" s="40"/>
      <c r="Q24" s="40"/>
      <c r="R24" s="40"/>
    </row>
    <row r="25" spans="1:18" s="72" customFormat="1" ht="14.25" customHeight="1" x14ac:dyDescent="0.3">
      <c r="A25" s="40" t="s">
        <v>124</v>
      </c>
      <c r="B25" s="77">
        <f>B23*B13+B24</f>
        <v>224102.70153273601</v>
      </c>
      <c r="C25" s="40" t="s">
        <v>123</v>
      </c>
      <c r="D25" s="76"/>
      <c r="E25" s="40"/>
      <c r="F25" s="40"/>
      <c r="G25" s="40"/>
      <c r="H25" s="40"/>
      <c r="I25" s="40"/>
      <c r="J25" s="40"/>
      <c r="K25" s="40"/>
      <c r="L25" s="40"/>
      <c r="M25" s="40"/>
      <c r="N25" s="40"/>
      <c r="O25" s="40"/>
      <c r="P25" s="40"/>
      <c r="Q25" s="40"/>
      <c r="R25" s="40"/>
    </row>
    <row r="26" spans="1:18" s="72" customFormat="1" ht="14.25" customHeight="1" x14ac:dyDescent="0.3">
      <c r="A26" s="79" t="s">
        <v>182</v>
      </c>
      <c r="B26" s="82">
        <f>VLOOKUP($A$5,tech_param[],11,FALSE)</f>
        <v>9.7600000000000006E-2</v>
      </c>
      <c r="C26" s="83" t="s">
        <v>125</v>
      </c>
      <c r="D26" s="76"/>
      <c r="E26" s="40"/>
      <c r="F26" s="40"/>
      <c r="G26" s="40"/>
      <c r="H26" s="40"/>
      <c r="I26" s="40"/>
      <c r="J26" s="40"/>
      <c r="K26" s="40"/>
      <c r="L26" s="40"/>
      <c r="M26" s="40"/>
      <c r="N26" s="40"/>
      <c r="O26" s="40"/>
      <c r="P26" s="40"/>
      <c r="Q26" s="40"/>
      <c r="R26" s="40"/>
    </row>
    <row r="27" spans="1:18" s="72" customFormat="1" ht="14.25" customHeight="1" x14ac:dyDescent="0.3">
      <c r="A27" s="79" t="s">
        <v>126</v>
      </c>
      <c r="B27" s="82">
        <f>VLOOKUP($A$5,tech_param[],12,FALSE)</f>
        <v>7.7158303998599992E-3</v>
      </c>
      <c r="C27" s="40" t="s">
        <v>55</v>
      </c>
      <c r="D27" s="76"/>
      <c r="E27" s="40"/>
      <c r="F27" s="40"/>
      <c r="G27" s="40"/>
      <c r="H27" s="40"/>
      <c r="I27" s="40"/>
      <c r="J27" s="40"/>
      <c r="K27" s="40"/>
      <c r="L27" s="40"/>
      <c r="M27" s="40"/>
      <c r="N27" s="40"/>
      <c r="O27" s="40"/>
      <c r="P27" s="40"/>
      <c r="Q27" s="40"/>
      <c r="R27" s="40"/>
    </row>
    <row r="28" spans="1:18" s="72" customFormat="1" ht="14.25" customHeight="1" x14ac:dyDescent="0.3">
      <c r="A28" s="40" t="s">
        <v>127</v>
      </c>
      <c r="B28" s="84">
        <f>SUM(B26:B27)</f>
        <v>0.10531583039986001</v>
      </c>
      <c r="C28" s="40" t="s">
        <v>55</v>
      </c>
      <c r="D28" s="76"/>
      <c r="E28" s="40"/>
      <c r="F28" s="40"/>
      <c r="G28" s="40"/>
      <c r="H28" s="40"/>
      <c r="I28" s="40"/>
      <c r="J28" s="40"/>
      <c r="K28" s="40"/>
      <c r="L28" s="40"/>
      <c r="M28" s="40"/>
      <c r="N28" s="40"/>
      <c r="O28" s="40"/>
      <c r="P28" s="40"/>
      <c r="Q28" s="40"/>
      <c r="R28" s="40"/>
    </row>
    <row r="29" spans="1:18" s="72" customFormat="1" ht="14.25" customHeight="1" x14ac:dyDescent="0.3">
      <c r="A29" s="40"/>
      <c r="B29" s="74"/>
      <c r="C29" s="40"/>
      <c r="D29" s="43"/>
      <c r="E29" s="43"/>
      <c r="F29" s="43"/>
      <c r="G29" s="43"/>
      <c r="H29" s="43"/>
      <c r="I29" s="43"/>
      <c r="J29" s="43"/>
      <c r="K29" s="43"/>
      <c r="L29" s="43"/>
      <c r="M29" s="43"/>
      <c r="N29" s="43"/>
      <c r="O29" s="43"/>
      <c r="P29" s="43"/>
      <c r="Q29" s="40"/>
      <c r="R29" s="40"/>
    </row>
    <row r="30" spans="1:18" s="72" customFormat="1" ht="14.25" customHeight="1" x14ac:dyDescent="0.3">
      <c r="A30" s="75" t="s">
        <v>128</v>
      </c>
      <c r="B30" s="37" t="s">
        <v>12</v>
      </c>
      <c r="C30" s="75" t="s">
        <v>129</v>
      </c>
      <c r="D30" s="108" t="s">
        <v>14</v>
      </c>
      <c r="E30" s="43"/>
      <c r="F30" s="43"/>
      <c r="G30" s="43"/>
      <c r="H30" s="43"/>
      <c r="I30" s="43"/>
      <c r="J30" s="43"/>
      <c r="K30" s="43"/>
      <c r="L30" s="43"/>
      <c r="M30" s="43"/>
      <c r="N30" s="43"/>
      <c r="O30" s="43"/>
      <c r="P30" s="43"/>
      <c r="Q30" s="40"/>
      <c r="R30" s="40"/>
    </row>
    <row r="31" spans="1:18" s="72" customFormat="1" ht="14.25" customHeight="1" x14ac:dyDescent="0.3">
      <c r="A31" s="40" t="s">
        <v>130</v>
      </c>
      <c r="B31" s="85">
        <f>'Algemene parameters'!B13</f>
        <v>0.20239199999999999</v>
      </c>
      <c r="C31" s="40" t="s">
        <v>131</v>
      </c>
      <c r="D31" s="43" t="s">
        <v>132</v>
      </c>
      <c r="E31" s="43"/>
      <c r="F31" s="43"/>
      <c r="G31" s="43"/>
      <c r="H31" s="43"/>
      <c r="I31" s="43"/>
      <c r="J31" s="43"/>
      <c r="K31" s="43"/>
      <c r="L31" s="43"/>
      <c r="M31" s="43"/>
      <c r="N31" s="43"/>
      <c r="O31" s="43"/>
      <c r="P31" s="43"/>
      <c r="Q31" s="40"/>
      <c r="R31" s="40"/>
    </row>
    <row r="32" spans="1:18" s="72" customFormat="1" ht="14.25" customHeight="1" x14ac:dyDescent="0.3">
      <c r="A32" s="40" t="s">
        <v>133</v>
      </c>
      <c r="B32" s="86">
        <f>'Algemene parameters'!B15</f>
        <v>0.22487999999999997</v>
      </c>
      <c r="C32" s="40" t="s">
        <v>134</v>
      </c>
      <c r="D32" s="43" t="s">
        <v>135</v>
      </c>
      <c r="E32" s="43"/>
      <c r="F32" s="43"/>
      <c r="G32" s="43"/>
      <c r="H32" s="43"/>
      <c r="I32" s="43"/>
      <c r="J32" s="43"/>
      <c r="K32" s="43"/>
      <c r="L32" s="43"/>
      <c r="M32" s="43"/>
      <c r="N32" s="43"/>
      <c r="O32" s="43"/>
      <c r="P32" s="43"/>
      <c r="Q32" s="40"/>
      <c r="R32" s="40"/>
    </row>
    <row r="33" spans="1:18" s="72" customFormat="1" ht="14.25" customHeight="1" x14ac:dyDescent="0.3">
      <c r="A33" s="40" t="s">
        <v>136</v>
      </c>
      <c r="B33" s="85">
        <f>VLOOKUP($A$5,tech_param[],13,FALSE)</f>
        <v>0.15</v>
      </c>
      <c r="C33" s="40" t="s">
        <v>137</v>
      </c>
      <c r="D33" s="43"/>
      <c r="E33" s="43"/>
      <c r="F33" s="43"/>
      <c r="G33" s="43"/>
      <c r="H33" s="43"/>
      <c r="I33" s="43"/>
      <c r="J33" s="43"/>
      <c r="K33" s="43"/>
      <c r="L33" s="43"/>
      <c r="M33" s="43"/>
      <c r="N33" s="43"/>
      <c r="O33" s="43"/>
      <c r="P33" s="43"/>
      <c r="Q33" s="40"/>
      <c r="R33" s="40"/>
    </row>
    <row r="34" spans="1:18" s="72" customFormat="1" ht="14.25" customHeight="1" x14ac:dyDescent="0.3">
      <c r="A34" s="40" t="s">
        <v>138</v>
      </c>
      <c r="B34" s="86">
        <f>B32-(B33*B13/B15)</f>
        <v>0.19487999999999997</v>
      </c>
      <c r="C34" s="40" t="s">
        <v>134</v>
      </c>
      <c r="D34" s="43" t="s">
        <v>139</v>
      </c>
      <c r="E34" s="43"/>
      <c r="F34" s="43"/>
      <c r="G34" s="43"/>
      <c r="H34" s="43"/>
      <c r="I34" s="43"/>
      <c r="J34" s="43"/>
      <c r="K34" s="43"/>
      <c r="L34" s="43"/>
      <c r="M34" s="43"/>
      <c r="N34" s="43"/>
      <c r="O34" s="43"/>
      <c r="P34" s="43"/>
      <c r="Q34" s="40"/>
      <c r="R34" s="40"/>
    </row>
    <row r="35" spans="1:18" s="72" customFormat="1" ht="14.25" customHeight="1" x14ac:dyDescent="0.3">
      <c r="A35" s="40"/>
      <c r="B35" s="74"/>
      <c r="C35" s="40"/>
      <c r="D35" s="43"/>
      <c r="E35" s="43"/>
      <c r="F35" s="43"/>
      <c r="G35" s="43"/>
      <c r="H35" s="43"/>
      <c r="I35" s="43"/>
      <c r="J35" s="43"/>
      <c r="K35" s="43"/>
      <c r="L35" s="43"/>
      <c r="M35" s="43"/>
      <c r="N35" s="43"/>
      <c r="O35" s="43"/>
      <c r="P35" s="43"/>
      <c r="Q35" s="40"/>
      <c r="R35" s="40"/>
    </row>
    <row r="36" spans="1:18" s="109" customFormat="1" ht="14.25" customHeight="1" x14ac:dyDescent="0.3">
      <c r="A36" s="108" t="s">
        <v>28</v>
      </c>
      <c r="B36" s="50" t="s">
        <v>12</v>
      </c>
      <c r="C36" s="108" t="s">
        <v>13</v>
      </c>
      <c r="D36" s="43"/>
      <c r="E36" s="43"/>
      <c r="F36" s="43"/>
      <c r="G36" s="43"/>
      <c r="H36" s="43"/>
      <c r="I36" s="43"/>
      <c r="J36" s="43"/>
      <c r="K36" s="43"/>
      <c r="L36" s="43"/>
      <c r="M36" s="43"/>
      <c r="N36" s="43"/>
      <c r="O36" s="43"/>
      <c r="P36" s="43"/>
      <c r="Q36" s="54"/>
      <c r="R36" s="54"/>
    </row>
    <row r="37" spans="1:18" s="72" customFormat="1" ht="14.25" customHeight="1" x14ac:dyDescent="0.3">
      <c r="A37" s="40" t="s">
        <v>76</v>
      </c>
      <c r="B37" s="88">
        <f>VLOOKUP($A$5,tech_param[],14,FALSE)</f>
        <v>10</v>
      </c>
      <c r="C37" s="40" t="s">
        <v>30</v>
      </c>
      <c r="D37" s="43"/>
      <c r="E37" s="43"/>
      <c r="F37" s="43"/>
      <c r="G37" s="43"/>
      <c r="H37" s="43"/>
      <c r="I37" s="43"/>
      <c r="J37" s="43"/>
      <c r="K37" s="43"/>
      <c r="L37" s="43"/>
      <c r="M37" s="43"/>
      <c r="N37" s="43"/>
      <c r="O37" s="43"/>
      <c r="P37" s="43"/>
      <c r="Q37" s="40"/>
      <c r="R37" s="40"/>
    </row>
    <row r="38" spans="1:18" s="72" customFormat="1" ht="14.25" customHeight="1" x14ac:dyDescent="0.3">
      <c r="A38" s="40" t="s">
        <v>29</v>
      </c>
      <c r="B38" s="62">
        <f>'Algemene parameters'!B23</f>
        <v>10</v>
      </c>
      <c r="C38" s="40" t="s">
        <v>30</v>
      </c>
      <c r="D38" s="43"/>
      <c r="E38" s="43"/>
      <c r="F38" s="43"/>
      <c r="G38" s="43"/>
      <c r="H38" s="43"/>
      <c r="I38" s="43"/>
      <c r="J38" s="43"/>
      <c r="K38" s="43"/>
      <c r="L38" s="43"/>
      <c r="M38" s="43"/>
      <c r="N38" s="43"/>
      <c r="O38" s="43"/>
      <c r="P38" s="43"/>
      <c r="Q38" s="40"/>
      <c r="R38" s="40"/>
    </row>
    <row r="39" spans="1:18" s="72" customFormat="1" ht="14.25" customHeight="1" x14ac:dyDescent="0.3">
      <c r="A39" s="40" t="s">
        <v>31</v>
      </c>
      <c r="B39" s="90">
        <f>'Algemene parameters'!B24</f>
        <v>0.02</v>
      </c>
      <c r="C39" s="40"/>
      <c r="D39" s="43"/>
      <c r="E39" s="43"/>
      <c r="F39" s="43"/>
      <c r="G39" s="43"/>
      <c r="H39" s="43"/>
      <c r="I39" s="43"/>
      <c r="J39" s="43"/>
      <c r="K39" s="43"/>
      <c r="L39" s="43"/>
      <c r="M39" s="43"/>
      <c r="N39" s="43"/>
      <c r="O39" s="43"/>
      <c r="P39" s="43"/>
      <c r="Q39" s="40"/>
      <c r="R39" s="40"/>
    </row>
    <row r="40" spans="1:18" s="72" customFormat="1" ht="14.25" customHeight="1" x14ac:dyDescent="0.3">
      <c r="A40" s="79" t="s">
        <v>140</v>
      </c>
      <c r="B40" s="90">
        <f>'Algemene parameters'!B25</f>
        <v>5.7500000000000002E-2</v>
      </c>
      <c r="C40" s="40"/>
      <c r="D40" s="40"/>
      <c r="E40" s="40"/>
      <c r="F40" s="40"/>
      <c r="G40" s="40"/>
      <c r="H40" s="40"/>
      <c r="I40" s="40"/>
      <c r="J40" s="40"/>
      <c r="K40" s="40"/>
      <c r="L40" s="40"/>
      <c r="M40" s="40"/>
      <c r="N40" s="40"/>
      <c r="O40" s="40"/>
      <c r="P40" s="40"/>
      <c r="Q40" s="40"/>
      <c r="R40" s="40"/>
    </row>
    <row r="41" spans="1:18" s="72" customFormat="1" ht="14.25" customHeight="1" x14ac:dyDescent="0.3">
      <c r="A41" s="79" t="s">
        <v>141</v>
      </c>
      <c r="B41" s="45">
        <f>'Algemene parameters'!B26</f>
        <v>0.12</v>
      </c>
      <c r="C41" s="40"/>
      <c r="D41" s="40"/>
      <c r="E41" s="40"/>
      <c r="F41" s="40"/>
      <c r="G41" s="40"/>
      <c r="H41" s="40"/>
      <c r="I41" s="40"/>
      <c r="J41" s="40"/>
      <c r="K41" s="40"/>
      <c r="L41" s="40"/>
      <c r="M41" s="40"/>
      <c r="N41" s="40"/>
      <c r="O41" s="40"/>
      <c r="P41" s="40"/>
      <c r="Q41" s="40"/>
      <c r="R41" s="40"/>
    </row>
    <row r="42" spans="1:18" s="72" customFormat="1" ht="14.25" customHeight="1" x14ac:dyDescent="0.3">
      <c r="A42" s="79" t="s">
        <v>142</v>
      </c>
      <c r="B42" s="45">
        <f>'Algemene parameters'!B27</f>
        <v>0.58200000000000007</v>
      </c>
      <c r="C42" s="40"/>
      <c r="D42" s="40"/>
      <c r="E42" s="40"/>
      <c r="F42" s="40"/>
      <c r="G42" s="40"/>
      <c r="H42" s="40"/>
      <c r="I42" s="40"/>
      <c r="J42" s="40"/>
      <c r="K42" s="40"/>
      <c r="L42" s="40"/>
      <c r="M42" s="40"/>
      <c r="N42" s="40"/>
      <c r="O42" s="40"/>
      <c r="P42" s="40"/>
      <c r="Q42" s="40"/>
      <c r="R42" s="40"/>
    </row>
    <row r="43" spans="1:18" s="72" customFormat="1" ht="14.25" customHeight="1" x14ac:dyDescent="0.3">
      <c r="A43" s="79" t="s">
        <v>143</v>
      </c>
      <c r="B43" s="45">
        <f>'Algemene parameters'!B28</f>
        <v>0.41799999999999998</v>
      </c>
      <c r="C43" s="40"/>
      <c r="D43" s="40"/>
      <c r="E43" s="40"/>
      <c r="F43" s="40"/>
      <c r="G43" s="40"/>
      <c r="H43" s="40"/>
      <c r="I43" s="40"/>
      <c r="J43" s="40"/>
      <c r="K43" s="40"/>
      <c r="L43" s="40"/>
      <c r="M43" s="40"/>
      <c r="N43" s="40"/>
      <c r="O43" s="40"/>
      <c r="P43" s="40"/>
      <c r="Q43" s="40"/>
      <c r="R43" s="40"/>
    </row>
    <row r="44" spans="1:18" s="72" customFormat="1" ht="14.25" customHeight="1" x14ac:dyDescent="0.3">
      <c r="A44" s="40" t="s">
        <v>41</v>
      </c>
      <c r="B44" s="45">
        <f>'Algemene parameters'!B29</f>
        <v>0.25</v>
      </c>
      <c r="C44" s="40"/>
      <c r="D44" s="40"/>
      <c r="E44" s="40"/>
      <c r="F44" s="40"/>
      <c r="G44" s="40"/>
      <c r="H44" s="40"/>
      <c r="I44" s="40"/>
      <c r="J44" s="40"/>
      <c r="K44" s="40"/>
      <c r="L44" s="40"/>
      <c r="M44" s="40"/>
      <c r="N44" s="40"/>
      <c r="O44" s="40"/>
      <c r="P44" s="40"/>
      <c r="Q44" s="40"/>
      <c r="R44" s="40"/>
    </row>
    <row r="45" spans="1:18" s="72" customFormat="1" ht="14.25" customHeight="1" x14ac:dyDescent="0.3">
      <c r="A45" s="115" t="s">
        <v>42</v>
      </c>
      <c r="B45" s="111">
        <f>'Algemene parameters'!B30</f>
        <v>7.5258749999999999E-2</v>
      </c>
      <c r="C45" s="40"/>
      <c r="D45" s="40"/>
      <c r="E45" s="40"/>
      <c r="F45" s="40"/>
      <c r="G45" s="40"/>
      <c r="H45" s="40"/>
      <c r="I45" s="40"/>
      <c r="J45" s="40"/>
      <c r="K45" s="40"/>
      <c r="L45" s="40"/>
      <c r="M45" s="40"/>
      <c r="N45" s="40"/>
      <c r="O45" s="40"/>
      <c r="P45" s="40"/>
      <c r="Q45" s="40"/>
      <c r="R45" s="40"/>
    </row>
    <row r="46" spans="1:18" s="72" customFormat="1" ht="14.25" customHeight="1" x14ac:dyDescent="0.3">
      <c r="A46" s="40"/>
      <c r="B46" s="40"/>
      <c r="C46" s="40"/>
      <c r="D46" s="91"/>
      <c r="E46" s="91"/>
      <c r="F46" s="91"/>
      <c r="G46" s="91"/>
      <c r="H46" s="91"/>
      <c r="I46" s="91"/>
      <c r="J46" s="91"/>
      <c r="K46" s="91"/>
      <c r="L46" s="91"/>
      <c r="M46" s="91"/>
      <c r="N46" s="40"/>
      <c r="O46" s="40"/>
      <c r="P46" s="40"/>
      <c r="Q46" s="40"/>
      <c r="R46" s="40"/>
    </row>
    <row r="47" spans="1:18" s="109" customFormat="1" ht="14.25" customHeight="1" x14ac:dyDescent="0.3">
      <c r="A47" s="108" t="s">
        <v>144</v>
      </c>
      <c r="B47" s="50" t="s">
        <v>12</v>
      </c>
      <c r="C47" s="108" t="s">
        <v>13</v>
      </c>
      <c r="D47" s="108" t="s">
        <v>14</v>
      </c>
      <c r="E47" s="54"/>
      <c r="F47" s="54"/>
      <c r="G47" s="54"/>
      <c r="H47" s="54"/>
      <c r="I47" s="54"/>
      <c r="J47" s="110"/>
      <c r="K47" s="54"/>
      <c r="L47" s="54"/>
      <c r="M47" s="54"/>
      <c r="N47" s="54"/>
      <c r="O47" s="54"/>
      <c r="P47" s="54"/>
      <c r="Q47" s="54"/>
      <c r="R47" s="54"/>
    </row>
    <row r="48" spans="1:18" s="72" customFormat="1" ht="14.25" customHeight="1" x14ac:dyDescent="0.3">
      <c r="A48" s="79" t="s">
        <v>145</v>
      </c>
      <c r="B48" s="92">
        <f>'Algemene parameters'!B42/'Algemene parameters'!B14/B34*1000</f>
        <v>205.4086119143974</v>
      </c>
      <c r="C48" s="40" t="s">
        <v>91</v>
      </c>
      <c r="D48" s="43" t="s">
        <v>146</v>
      </c>
      <c r="E48" s="43"/>
      <c r="F48" s="43"/>
      <c r="G48" s="43"/>
      <c r="H48" s="43"/>
      <c r="I48" s="43"/>
      <c r="J48" s="87"/>
      <c r="K48" s="40"/>
      <c r="L48" s="40"/>
      <c r="M48" s="40"/>
      <c r="N48" s="40"/>
      <c r="O48" s="40"/>
      <c r="P48" s="40"/>
      <c r="Q48" s="40"/>
      <c r="R48" s="40"/>
    </row>
    <row r="49" spans="1:18" s="72" customFormat="1" ht="14.25" customHeight="1" x14ac:dyDescent="0.3">
      <c r="A49" s="79" t="s">
        <v>147</v>
      </c>
      <c r="B49" s="92">
        <f>(('Algemene parameters'!B44/1000*B32))/B34*1000</f>
        <v>163.28263546798027</v>
      </c>
      <c r="C49" s="40" t="s">
        <v>91</v>
      </c>
      <c r="D49" s="43" t="s">
        <v>148</v>
      </c>
      <c r="E49" s="43"/>
      <c r="F49" s="43"/>
      <c r="G49" s="43"/>
      <c r="H49" s="43"/>
      <c r="I49" s="43"/>
      <c r="J49" s="87"/>
      <c r="K49" s="40"/>
      <c r="L49" s="40"/>
      <c r="M49" s="40"/>
      <c r="N49" s="40"/>
      <c r="O49" s="40"/>
      <c r="P49" s="40"/>
      <c r="Q49" s="40"/>
      <c r="R49" s="40"/>
    </row>
    <row r="50" spans="1:18" s="72" customFormat="1" ht="14.25" customHeight="1" x14ac:dyDescent="0.3">
      <c r="A50" s="79" t="s">
        <v>149</v>
      </c>
      <c r="B50" s="92">
        <f>(('Algemene parameters'!B45/1000*B32))/B34*1000</f>
        <v>68.890270935960601</v>
      </c>
      <c r="C50" s="40" t="s">
        <v>91</v>
      </c>
      <c r="D50" s="43" t="s">
        <v>150</v>
      </c>
      <c r="E50" s="43"/>
      <c r="F50" s="43"/>
      <c r="G50" s="43"/>
      <c r="H50" s="43"/>
      <c r="I50" s="43"/>
      <c r="J50" s="87"/>
      <c r="K50" s="40"/>
      <c r="L50" s="40"/>
      <c r="M50" s="40"/>
      <c r="N50" s="40"/>
      <c r="O50" s="40"/>
      <c r="P50" s="40"/>
      <c r="Q50" s="40"/>
      <c r="R50" s="40"/>
    </row>
    <row r="51" spans="1:18" s="72" customFormat="1" ht="14.25" customHeight="1" x14ac:dyDescent="0.3">
      <c r="A51" s="40" t="s">
        <v>151</v>
      </c>
      <c r="B51" s="92">
        <f>SUM(B48:B49)</f>
        <v>368.6912473823777</v>
      </c>
      <c r="C51" s="40" t="s">
        <v>91</v>
      </c>
      <c r="D51" s="43"/>
      <c r="E51" s="43"/>
      <c r="F51" s="43"/>
      <c r="G51" s="43"/>
      <c r="H51" s="43"/>
      <c r="I51" s="43"/>
      <c r="J51" s="89"/>
      <c r="K51" s="40"/>
      <c r="L51" s="40"/>
      <c r="M51" s="40"/>
      <c r="N51" s="40"/>
      <c r="O51" s="40"/>
      <c r="P51" s="40"/>
      <c r="Q51" s="40"/>
      <c r="R51" s="40"/>
    </row>
    <row r="52" spans="1:18" s="72" customFormat="1" ht="14.25" customHeight="1" x14ac:dyDescent="0.3">
      <c r="A52" s="40" t="s">
        <v>152</v>
      </c>
      <c r="B52" s="92">
        <f>B48+B50</f>
        <v>274.29888285035798</v>
      </c>
      <c r="C52" s="40" t="s">
        <v>91</v>
      </c>
      <c r="D52" s="43"/>
      <c r="E52" s="43"/>
      <c r="F52" s="43"/>
      <c r="G52" s="43"/>
      <c r="H52" s="43"/>
      <c r="I52" s="43"/>
      <c r="J52" s="89"/>
      <c r="K52" s="40"/>
      <c r="L52" s="40"/>
      <c r="M52" s="40"/>
      <c r="N52" s="40"/>
      <c r="O52" s="40"/>
      <c r="P52" s="40"/>
      <c r="Q52" s="40"/>
      <c r="R52" s="40"/>
    </row>
    <row r="53" spans="1:18" s="72" customFormat="1" ht="14.25" customHeight="1" x14ac:dyDescent="0.3">
      <c r="A53" s="40"/>
      <c r="B53" s="74"/>
      <c r="C53" s="40"/>
      <c r="D53" s="43"/>
      <c r="E53" s="43"/>
      <c r="F53" s="43"/>
      <c r="G53" s="43"/>
      <c r="H53" s="43"/>
      <c r="I53" s="43"/>
      <c r="J53" s="89"/>
      <c r="K53" s="40"/>
      <c r="L53" s="40"/>
      <c r="M53" s="40"/>
      <c r="N53" s="40"/>
      <c r="O53" s="40"/>
      <c r="P53" s="40"/>
      <c r="Q53" s="40"/>
      <c r="R53" s="40"/>
    </row>
    <row r="54" spans="1:18" s="109" customFormat="1" ht="14.25" customHeight="1" x14ac:dyDescent="0.3">
      <c r="A54" s="108" t="s">
        <v>153</v>
      </c>
      <c r="B54" s="50" t="s">
        <v>12</v>
      </c>
      <c r="C54" s="108" t="s">
        <v>13</v>
      </c>
      <c r="D54" s="108" t="s">
        <v>14</v>
      </c>
      <c r="E54" s="43"/>
      <c r="F54" s="43"/>
      <c r="G54" s="43"/>
      <c r="H54" s="43"/>
      <c r="I54" s="43"/>
      <c r="J54" s="110"/>
      <c r="K54" s="54"/>
      <c r="L54" s="54"/>
      <c r="M54" s="54"/>
      <c r="N54" s="54"/>
      <c r="O54" s="54"/>
      <c r="P54" s="54"/>
      <c r="Q54" s="54"/>
      <c r="R54" s="54"/>
    </row>
    <row r="55" spans="1:18" s="72" customFormat="1" ht="14.25" customHeight="1" x14ac:dyDescent="0.3">
      <c r="A55" s="79" t="s">
        <v>154</v>
      </c>
      <c r="B55" s="92">
        <f>B59/$B$34*1000</f>
        <v>136.93907460959826</v>
      </c>
      <c r="C55" s="40" t="s">
        <v>91</v>
      </c>
      <c r="D55" s="151" t="s">
        <v>155</v>
      </c>
      <c r="E55" s="151"/>
      <c r="F55" s="151"/>
      <c r="G55" s="151"/>
      <c r="H55" s="151"/>
      <c r="I55" s="151"/>
      <c r="J55" s="152"/>
      <c r="K55" s="40"/>
      <c r="L55" s="40"/>
      <c r="M55" s="40"/>
      <c r="N55" s="40"/>
      <c r="O55" s="40"/>
      <c r="P55" s="40"/>
      <c r="Q55" s="40"/>
      <c r="R55" s="40"/>
    </row>
    <row r="56" spans="1:18" s="72" customFormat="1" ht="14.25" customHeight="1" x14ac:dyDescent="0.3">
      <c r="A56" s="79" t="s">
        <v>156</v>
      </c>
      <c r="B56" s="92">
        <f t="shared" ref="B56:B57" si="0">B60/$B$34*1000</f>
        <v>108.85509031198687</v>
      </c>
      <c r="C56" s="40" t="s">
        <v>91</v>
      </c>
      <c r="D56" s="151" t="s">
        <v>155</v>
      </c>
      <c r="E56" s="151"/>
      <c r="F56" s="151"/>
      <c r="G56" s="151"/>
      <c r="H56" s="151"/>
      <c r="I56" s="151"/>
      <c r="J56" s="152"/>
      <c r="K56" s="40"/>
      <c r="L56" s="40"/>
      <c r="M56" s="40"/>
      <c r="N56" s="40"/>
      <c r="O56" s="40"/>
      <c r="P56" s="40"/>
      <c r="Q56" s="40"/>
      <c r="R56" s="40"/>
    </row>
    <row r="57" spans="1:18" s="72" customFormat="1" ht="14.25" customHeight="1" x14ac:dyDescent="0.3">
      <c r="A57" s="79" t="s">
        <v>157</v>
      </c>
      <c r="B57" s="92">
        <f t="shared" si="0"/>
        <v>45.926847290640396</v>
      </c>
      <c r="C57" s="40" t="s">
        <v>91</v>
      </c>
      <c r="D57" s="151" t="s">
        <v>155</v>
      </c>
      <c r="E57" s="151"/>
      <c r="F57" s="151"/>
      <c r="G57" s="151"/>
      <c r="H57" s="151"/>
      <c r="I57" s="151"/>
      <c r="J57" s="152"/>
      <c r="K57" s="40"/>
      <c r="L57" s="40"/>
      <c r="M57" s="40"/>
      <c r="N57" s="40"/>
      <c r="O57" s="40"/>
      <c r="P57" s="40"/>
      <c r="Q57" s="40"/>
      <c r="R57" s="40"/>
    </row>
    <row r="58" spans="1:18" s="72" customFormat="1" ht="14.25" customHeight="1" x14ac:dyDescent="0.3">
      <c r="A58" s="79"/>
      <c r="B58" s="92"/>
      <c r="C58" s="40"/>
      <c r="D58" s="43"/>
      <c r="E58" s="43"/>
      <c r="F58" s="43"/>
      <c r="G58" s="43"/>
      <c r="H58" s="43"/>
      <c r="I58" s="43"/>
      <c r="J58" s="87"/>
      <c r="K58" s="40"/>
      <c r="L58" s="40"/>
      <c r="M58" s="40"/>
      <c r="N58" s="40"/>
      <c r="O58" s="40"/>
      <c r="P58" s="40"/>
      <c r="Q58" s="40"/>
      <c r="R58" s="40"/>
    </row>
    <row r="59" spans="1:18" s="72" customFormat="1" ht="14.25" customHeight="1" x14ac:dyDescent="0.3">
      <c r="A59" s="79" t="s">
        <v>154</v>
      </c>
      <c r="B59" s="93">
        <f>2/3*'Algemene parameters'!B42/'Algemene parameters'!B14</f>
        <v>2.6686686859918506E-2</v>
      </c>
      <c r="C59" s="40" t="s">
        <v>92</v>
      </c>
      <c r="D59" s="43"/>
      <c r="E59" s="43"/>
      <c r="F59" s="43"/>
      <c r="G59" s="43"/>
      <c r="H59" s="43"/>
      <c r="I59" s="43"/>
      <c r="J59" s="87"/>
      <c r="K59" s="40"/>
      <c r="L59" s="40"/>
      <c r="M59" s="40"/>
      <c r="N59" s="40"/>
      <c r="O59" s="40"/>
      <c r="P59" s="40"/>
      <c r="Q59" s="40"/>
      <c r="R59" s="40"/>
    </row>
    <row r="60" spans="1:18" s="72" customFormat="1" ht="14.25" customHeight="1" x14ac:dyDescent="0.3">
      <c r="A60" s="79" t="s">
        <v>156</v>
      </c>
      <c r="B60" s="93">
        <f>2/3*'Algemene parameters'!B44*'Algemene parameters'!B13/'Algemene parameters'!B14/1000</f>
        <v>2.1213679999999999E-2</v>
      </c>
      <c r="C60" s="40" t="s">
        <v>92</v>
      </c>
      <c r="D60" s="43"/>
      <c r="E60" s="43"/>
      <c r="F60" s="43"/>
      <c r="G60" s="43"/>
      <c r="H60" s="43"/>
      <c r="I60" s="43"/>
      <c r="J60" s="87"/>
      <c r="K60" s="40"/>
      <c r="L60" s="40"/>
      <c r="M60" s="40"/>
      <c r="N60" s="40"/>
      <c r="O60" s="40"/>
      <c r="P60" s="40"/>
      <c r="Q60" s="40"/>
      <c r="R60" s="40"/>
    </row>
    <row r="61" spans="1:18" s="72" customFormat="1" ht="14.25" customHeight="1" x14ac:dyDescent="0.3">
      <c r="A61" s="79" t="s">
        <v>157</v>
      </c>
      <c r="B61" s="93">
        <f>2/3*'Algemene parameters'!B45*'Algemene parameters'!B13/'Algemene parameters'!B14/1000</f>
        <v>8.9502239999999979E-3</v>
      </c>
      <c r="C61" s="40" t="s">
        <v>92</v>
      </c>
      <c r="D61" s="43"/>
      <c r="E61" s="43"/>
      <c r="F61" s="43"/>
      <c r="G61" s="43"/>
      <c r="H61" s="43"/>
      <c r="I61" s="43"/>
      <c r="J61" s="87"/>
      <c r="K61" s="40"/>
      <c r="L61" s="40"/>
      <c r="M61" s="40"/>
      <c r="N61" s="40"/>
      <c r="O61" s="40"/>
      <c r="P61" s="40"/>
      <c r="Q61" s="40"/>
      <c r="R61" s="40"/>
    </row>
    <row r="62" spans="1:18" s="72" customFormat="1" ht="14.25" customHeight="1" x14ac:dyDescent="0.3">
      <c r="A62" s="79"/>
      <c r="B62" s="92"/>
      <c r="C62" s="40"/>
      <c r="D62" s="94"/>
      <c r="I62" s="40"/>
      <c r="J62" s="87"/>
      <c r="K62" s="40"/>
      <c r="L62" s="40"/>
      <c r="M62" s="40"/>
      <c r="N62" s="40"/>
      <c r="O62" s="40"/>
      <c r="P62" s="40"/>
      <c r="Q62" s="40"/>
      <c r="R62" s="40"/>
    </row>
    <row r="63" spans="1:18" s="72" customFormat="1" ht="14.25" customHeight="1" x14ac:dyDescent="0.3">
      <c r="A63" s="95" t="s">
        <v>158</v>
      </c>
      <c r="B63" s="97">
        <f>B59+B60</f>
        <v>4.7900366859918504E-2</v>
      </c>
      <c r="C63" s="40" t="s">
        <v>92</v>
      </c>
      <c r="D63" s="76"/>
      <c r="E63" s="40"/>
      <c r="F63" s="40"/>
      <c r="G63" s="40"/>
      <c r="H63" s="40"/>
      <c r="I63" s="40"/>
      <c r="J63" s="89"/>
      <c r="K63" s="40"/>
      <c r="L63" s="40"/>
      <c r="M63" s="40"/>
      <c r="N63" s="40"/>
      <c r="O63" s="40"/>
      <c r="P63" s="40"/>
      <c r="Q63" s="40"/>
      <c r="R63" s="40"/>
    </row>
    <row r="64" spans="1:18" s="72" customFormat="1" ht="14.25" customHeight="1" x14ac:dyDescent="0.3">
      <c r="A64" s="95" t="s">
        <v>159</v>
      </c>
      <c r="B64" s="97">
        <f>B59+B61</f>
        <v>3.5636910859918505E-2</v>
      </c>
      <c r="C64" s="40" t="s">
        <v>92</v>
      </c>
      <c r="D64" s="76"/>
      <c r="E64" s="40"/>
      <c r="F64" s="40"/>
      <c r="G64" s="40"/>
      <c r="H64" s="40"/>
      <c r="I64" s="40"/>
      <c r="J64" s="89"/>
      <c r="K64" s="40"/>
      <c r="L64" s="40"/>
      <c r="M64" s="40"/>
      <c r="N64" s="40"/>
      <c r="O64" s="40"/>
      <c r="P64" s="40"/>
      <c r="Q64" s="40"/>
      <c r="R64" s="40"/>
    </row>
    <row r="65" spans="1:18" s="72" customFormat="1" ht="14.25" customHeight="1" x14ac:dyDescent="0.3">
      <c r="A65" s="95" t="s">
        <v>160</v>
      </c>
      <c r="B65" s="97">
        <f>B59</f>
        <v>2.6686686859918506E-2</v>
      </c>
      <c r="C65" s="40" t="s">
        <v>92</v>
      </c>
      <c r="D65" s="76"/>
      <c r="E65" s="40"/>
      <c r="F65" s="40"/>
      <c r="G65" s="40"/>
      <c r="H65" s="40"/>
      <c r="I65" s="40"/>
      <c r="J65" s="89"/>
      <c r="K65" s="40"/>
      <c r="L65" s="40"/>
      <c r="M65" s="40"/>
      <c r="N65" s="40"/>
      <c r="O65" s="40"/>
      <c r="P65" s="40"/>
      <c r="Q65" s="40"/>
      <c r="R65" s="40"/>
    </row>
    <row r="66" spans="1:18" s="142" customFormat="1" x14ac:dyDescent="0.2">
      <c r="A66" s="140"/>
      <c r="B66" s="141"/>
      <c r="C66" s="15"/>
      <c r="D66" s="140"/>
      <c r="E66" s="140"/>
      <c r="F66" s="140"/>
      <c r="G66" s="140"/>
      <c r="H66" s="140"/>
      <c r="I66" s="140"/>
      <c r="J66" s="140"/>
      <c r="K66" s="140"/>
      <c r="L66" s="140"/>
      <c r="M66" s="140"/>
      <c r="N66" s="140"/>
      <c r="O66" s="140"/>
      <c r="P66" s="140"/>
      <c r="Q66" s="140"/>
      <c r="R66" s="140"/>
    </row>
    <row r="67" spans="1:18" s="72" customFormat="1" ht="14.25" customHeight="1" x14ac:dyDescent="0.3">
      <c r="A67" s="95"/>
      <c r="B67" s="92"/>
      <c r="C67" s="40"/>
      <c r="D67" s="76"/>
      <c r="E67" s="40"/>
      <c r="F67" s="40"/>
      <c r="G67" s="40"/>
      <c r="H67" s="40"/>
      <c r="I67" s="40"/>
      <c r="J67" s="89"/>
      <c r="K67" s="40"/>
      <c r="L67" s="40"/>
      <c r="M67" s="40"/>
      <c r="N67" s="40"/>
      <c r="O67" s="40"/>
      <c r="P67" s="40"/>
      <c r="Q67" s="40"/>
      <c r="R67" s="40"/>
    </row>
    <row r="68" spans="1:18" s="72" customFormat="1" ht="14.25" customHeight="1" x14ac:dyDescent="0.3">
      <c r="A68" s="95"/>
      <c r="B68" s="92"/>
      <c r="C68" s="40"/>
      <c r="D68" s="76"/>
      <c r="E68" s="40"/>
      <c r="F68" s="40"/>
      <c r="G68" s="40"/>
      <c r="H68" s="40"/>
      <c r="I68" s="40"/>
      <c r="J68" s="89"/>
      <c r="K68" s="40"/>
      <c r="L68" s="40"/>
      <c r="M68" s="40"/>
      <c r="N68" s="40"/>
      <c r="O68" s="40"/>
      <c r="P68" s="40"/>
      <c r="Q68" s="40"/>
      <c r="R68" s="40"/>
    </row>
    <row r="69" spans="1:18" s="72" customFormat="1" ht="14.25" customHeight="1" x14ac:dyDescent="0.3">
      <c r="A69" s="40"/>
      <c r="B69" s="74"/>
      <c r="C69" s="40"/>
      <c r="D69" s="40"/>
      <c r="E69" s="40"/>
      <c r="F69" s="40"/>
      <c r="G69" s="40"/>
      <c r="H69" s="40"/>
      <c r="I69" s="40"/>
      <c r="J69" s="89"/>
      <c r="K69" s="40"/>
      <c r="L69" s="40"/>
      <c r="M69" s="40"/>
      <c r="N69" s="40"/>
      <c r="O69" s="40"/>
      <c r="P69" s="40"/>
      <c r="Q69" s="40"/>
      <c r="R69" s="40"/>
    </row>
    <row r="70" spans="1:18" s="48" customFormat="1" ht="14.25" customHeight="1" x14ac:dyDescent="0.3">
      <c r="A70" s="46" t="s">
        <v>161</v>
      </c>
      <c r="B70" s="46"/>
      <c r="C70" s="46"/>
      <c r="D70" s="46"/>
      <c r="E70" s="46"/>
      <c r="F70" s="46"/>
      <c r="G70" s="46"/>
      <c r="H70" s="46"/>
      <c r="I70" s="46"/>
      <c r="J70" s="46"/>
      <c r="K70" s="46"/>
    </row>
    <row r="71" spans="1:18" s="95" customFormat="1" ht="14.25" customHeight="1" x14ac:dyDescent="0.3">
      <c r="A71" s="166" t="s">
        <v>1</v>
      </c>
      <c r="B71" s="167"/>
      <c r="C71" s="167"/>
      <c r="D71" s="167"/>
      <c r="E71" s="167"/>
      <c r="F71" s="167"/>
      <c r="G71" s="167"/>
      <c r="H71" s="167"/>
      <c r="I71" s="167"/>
      <c r="J71" s="167"/>
      <c r="K71" s="167"/>
      <c r="L71" s="167"/>
      <c r="M71" s="167"/>
      <c r="N71" s="167"/>
      <c r="O71" s="169"/>
      <c r="P71" s="169"/>
      <c r="Q71" s="169"/>
      <c r="R71" s="169"/>
    </row>
    <row r="72" spans="1:18" s="14" customFormat="1" ht="14.25" customHeight="1" x14ac:dyDescent="0.3">
      <c r="A72" s="11"/>
      <c r="B72" s="12"/>
      <c r="C72" s="11"/>
      <c r="D72" s="11"/>
      <c r="E72" s="11"/>
      <c r="F72" s="11"/>
      <c r="G72" s="11"/>
      <c r="H72" s="11"/>
      <c r="I72" s="11"/>
      <c r="J72" s="11"/>
      <c r="K72" s="11"/>
      <c r="L72" s="11"/>
      <c r="M72" s="11"/>
      <c r="N72" s="11"/>
      <c r="O72" s="11"/>
      <c r="P72" s="11"/>
      <c r="Q72" s="11"/>
      <c r="R72" s="11"/>
    </row>
    <row r="73" spans="1:18" s="119" customFormat="1" ht="14.25" customHeight="1" x14ac:dyDescent="0.3">
      <c r="A73" s="120" t="s">
        <v>162</v>
      </c>
      <c r="B73" s="120"/>
      <c r="C73" s="121">
        <v>0</v>
      </c>
      <c r="D73" s="121">
        <v>1</v>
      </c>
      <c r="E73" s="121">
        <v>2</v>
      </c>
      <c r="F73" s="121">
        <v>3</v>
      </c>
      <c r="G73" s="121">
        <v>4</v>
      </c>
      <c r="H73" s="121">
        <v>5</v>
      </c>
      <c r="I73" s="121">
        <v>6</v>
      </c>
      <c r="J73" s="121">
        <v>7</v>
      </c>
      <c r="K73" s="121">
        <v>8</v>
      </c>
      <c r="L73" s="121">
        <v>9</v>
      </c>
      <c r="M73" s="121">
        <v>10</v>
      </c>
      <c r="N73" s="121">
        <v>11</v>
      </c>
      <c r="O73" s="121">
        <v>12</v>
      </c>
      <c r="P73" s="121">
        <v>13</v>
      </c>
      <c r="Q73" s="121">
        <v>14</v>
      </c>
      <c r="R73" s="121">
        <v>15</v>
      </c>
    </row>
    <row r="74" spans="1:18" s="133" customFormat="1" ht="14.25" customHeight="1" x14ac:dyDescent="0.3">
      <c r="A74" s="154" t="s">
        <v>163</v>
      </c>
      <c r="B74" s="123"/>
      <c r="C74" s="124"/>
      <c r="D74" s="125">
        <f t="shared" ref="D74:R74" si="1">POWER(1+$B$39,D73-$D$73)</f>
        <v>1</v>
      </c>
      <c r="E74" s="125">
        <f t="shared" si="1"/>
        <v>1.02</v>
      </c>
      <c r="F74" s="125">
        <f t="shared" si="1"/>
        <v>1.0404</v>
      </c>
      <c r="G74" s="125">
        <f t="shared" si="1"/>
        <v>1.0612079999999999</v>
      </c>
      <c r="H74" s="125">
        <f t="shared" si="1"/>
        <v>1.08243216</v>
      </c>
      <c r="I74" s="125">
        <f t="shared" si="1"/>
        <v>1.1040808032</v>
      </c>
      <c r="J74" s="125">
        <f t="shared" si="1"/>
        <v>1.1261624192640001</v>
      </c>
      <c r="K74" s="125">
        <f t="shared" si="1"/>
        <v>1.1486856676492798</v>
      </c>
      <c r="L74" s="125">
        <f t="shared" si="1"/>
        <v>1.1716593810022655</v>
      </c>
      <c r="M74" s="125">
        <f t="shared" si="1"/>
        <v>1.1950925686223108</v>
      </c>
      <c r="N74" s="125">
        <f t="shared" si="1"/>
        <v>1.2189944199947571</v>
      </c>
      <c r="O74" s="125">
        <f t="shared" si="1"/>
        <v>1.243374308394652</v>
      </c>
      <c r="P74" s="125">
        <f t="shared" si="1"/>
        <v>1.2682417945625453</v>
      </c>
      <c r="Q74" s="125">
        <f t="shared" si="1"/>
        <v>1.2936066304537961</v>
      </c>
      <c r="R74" s="125">
        <f t="shared" si="1"/>
        <v>1.3194787630628722</v>
      </c>
    </row>
    <row r="75" spans="1:18" s="133" customFormat="1" ht="14.25" customHeight="1" x14ac:dyDescent="0.3">
      <c r="A75" s="122"/>
      <c r="B75" s="123"/>
      <c r="C75" s="124"/>
      <c r="D75" s="125"/>
      <c r="E75" s="125"/>
      <c r="F75" s="125"/>
      <c r="G75" s="125"/>
      <c r="H75" s="125"/>
      <c r="I75" s="125"/>
      <c r="J75" s="125"/>
      <c r="K75" s="125"/>
      <c r="L75" s="125"/>
      <c r="M75" s="125"/>
      <c r="N75" s="125"/>
      <c r="O75" s="125"/>
      <c r="P75" s="125"/>
      <c r="Q75" s="125"/>
      <c r="R75" s="125"/>
    </row>
    <row r="76" spans="1:18" s="133" customFormat="1" ht="14.25" customHeight="1" x14ac:dyDescent="0.3">
      <c r="A76" s="126" t="s">
        <v>116</v>
      </c>
      <c r="B76" s="127"/>
      <c r="C76" s="127"/>
      <c r="D76" s="127"/>
      <c r="E76" s="127"/>
      <c r="F76" s="127"/>
      <c r="G76" s="127"/>
      <c r="H76" s="127"/>
      <c r="I76" s="127"/>
      <c r="J76" s="127"/>
      <c r="K76" s="127"/>
      <c r="L76" s="127"/>
      <c r="M76" s="127"/>
      <c r="N76" s="127"/>
      <c r="O76" s="127"/>
      <c r="P76" s="127"/>
      <c r="Q76" s="127"/>
      <c r="R76" s="127"/>
    </row>
    <row r="77" spans="1:18" s="133" customFormat="1" ht="14.25" customHeight="1" x14ac:dyDescent="0.3">
      <c r="A77" s="124" t="s">
        <v>164</v>
      </c>
      <c r="B77" s="123"/>
      <c r="C77" s="128">
        <f>-B22</f>
        <v>-4608000</v>
      </c>
      <c r="D77" s="124"/>
      <c r="E77" s="124"/>
      <c r="F77" s="124"/>
      <c r="G77" s="124"/>
      <c r="H77" s="124"/>
      <c r="I77" s="124"/>
      <c r="J77" s="124"/>
      <c r="K77" s="124"/>
      <c r="L77" s="124"/>
      <c r="M77" s="124"/>
      <c r="N77" s="128"/>
      <c r="O77" s="128"/>
      <c r="P77" s="124"/>
      <c r="Q77" s="124"/>
      <c r="R77" s="124"/>
    </row>
    <row r="78" spans="1:18" s="133" customFormat="1" ht="14.25" customHeight="1" x14ac:dyDescent="0.3">
      <c r="A78" s="124" t="s">
        <v>165</v>
      </c>
      <c r="B78" s="123"/>
      <c r="C78" s="128"/>
      <c r="D78" s="129">
        <f>-$B$25*D74</f>
        <v>-224102.70153273601</v>
      </c>
      <c r="E78" s="129">
        <f>-$B$25*E74</f>
        <v>-228584.75556339073</v>
      </c>
      <c r="F78" s="129">
        <f t="shared" ref="F78:M78" si="2">-$B$25*F74</f>
        <v>-233156.45067465855</v>
      </c>
      <c r="G78" s="129">
        <f t="shared" si="2"/>
        <v>-237819.57968815172</v>
      </c>
      <c r="H78" s="129">
        <f t="shared" si="2"/>
        <v>-242575.97128191474</v>
      </c>
      <c r="I78" s="129">
        <f t="shared" si="2"/>
        <v>-247427.49070755305</v>
      </c>
      <c r="J78" s="129">
        <f t="shared" si="2"/>
        <v>-252376.04052170413</v>
      </c>
      <c r="K78" s="129">
        <f t="shared" si="2"/>
        <v>-257423.56133213814</v>
      </c>
      <c r="L78" s="129">
        <f t="shared" si="2"/>
        <v>-262572.03255878092</v>
      </c>
      <c r="M78" s="129">
        <f t="shared" si="2"/>
        <v>-267823.47320995654</v>
      </c>
      <c r="N78" s="129">
        <f>IF($B$37&gt;=N$73,-$B$25*N$74,0)</f>
        <v>0</v>
      </c>
      <c r="O78" s="129">
        <f>IF($B$37&gt;=O$73,-$B$25*O$74,0)</f>
        <v>0</v>
      </c>
      <c r="P78" s="129">
        <f>IF($B$37&gt;=P$73,-$B$25*P$74,0)</f>
        <v>0</v>
      </c>
      <c r="Q78" s="129">
        <f>IF($B$37&gt;=Q$73,-$B$25*Q$74,0)</f>
        <v>0</v>
      </c>
      <c r="R78" s="129">
        <f>IF($B$37&gt;=R$73,-$B$25*R$74,0)</f>
        <v>0</v>
      </c>
    </row>
    <row r="79" spans="1:18" s="133" customFormat="1" ht="14.25" customHeight="1" x14ac:dyDescent="0.3">
      <c r="A79" s="124" t="s">
        <v>166</v>
      </c>
      <c r="B79" s="123"/>
      <c r="C79" s="124"/>
      <c r="D79" s="128">
        <f>-($B$28*$B$18*1000)*D74</f>
        <v>-463389.653759384</v>
      </c>
      <c r="E79" s="128">
        <f t="shared" ref="E79:M79" si="3">-($B$28*$B$18*1000)*E74</f>
        <v>-472657.44683457172</v>
      </c>
      <c r="F79" s="128">
        <f t="shared" si="3"/>
        <v>-482110.59577126312</v>
      </c>
      <c r="G79" s="128">
        <f t="shared" si="3"/>
        <v>-491752.80768668832</v>
      </c>
      <c r="H79" s="128">
        <f t="shared" si="3"/>
        <v>-501587.86384042213</v>
      </c>
      <c r="I79" s="128">
        <f t="shared" si="3"/>
        <v>-511619.62111723062</v>
      </c>
      <c r="J79" s="128">
        <f t="shared" si="3"/>
        <v>-521852.01353957521</v>
      </c>
      <c r="K79" s="128">
        <f t="shared" si="3"/>
        <v>-532289.05381036666</v>
      </c>
      <c r="L79" s="128">
        <f t="shared" si="3"/>
        <v>-542934.83488657395</v>
      </c>
      <c r="M79" s="128">
        <f t="shared" si="3"/>
        <v>-553793.53158430546</v>
      </c>
      <c r="N79" s="128">
        <f>IF($B$37&gt;=N$73,-($B$28*$B$18*1000)*N74,0)</f>
        <v>0</v>
      </c>
      <c r="O79" s="128">
        <f>IF($B$37&gt;=O$73,-($B$28*$B$18*1000)*O74,0)</f>
        <v>0</v>
      </c>
      <c r="P79" s="128">
        <f>IF($B$37&gt;=P$73,-($B$28*$B$18*1000)*P74,0)</f>
        <v>0</v>
      </c>
      <c r="Q79" s="128">
        <f>IF($B$37&gt;=Q$73,-($B$28*$B$18*1000)*Q74,0)</f>
        <v>0</v>
      </c>
      <c r="R79" s="128">
        <f>IF($B$37&gt;=R$73,-($B$28*$B$18*1000)*R74,0)</f>
        <v>0</v>
      </c>
    </row>
    <row r="80" spans="1:18" s="133" customFormat="1" ht="14.25" customHeight="1" x14ac:dyDescent="0.3">
      <c r="A80" s="126" t="s">
        <v>167</v>
      </c>
      <c r="B80" s="126"/>
      <c r="C80" s="126"/>
      <c r="D80" s="126"/>
      <c r="E80" s="126"/>
      <c r="F80" s="126"/>
      <c r="G80" s="126"/>
      <c r="H80" s="126"/>
      <c r="I80" s="126"/>
      <c r="J80" s="126"/>
      <c r="K80" s="126"/>
      <c r="L80" s="126"/>
      <c r="M80" s="126"/>
      <c r="N80" s="126"/>
      <c r="O80" s="126"/>
      <c r="P80" s="126"/>
      <c r="Q80" s="126"/>
      <c r="R80" s="126"/>
    </row>
    <row r="81" spans="1:18" s="133" customFormat="1" ht="14.25" customHeight="1" x14ac:dyDescent="0.3">
      <c r="A81" s="124" t="s">
        <v>168</v>
      </c>
      <c r="B81" s="123"/>
      <c r="C81" s="124"/>
      <c r="D81" s="128">
        <f>$C$77/$B$38</f>
        <v>-460800</v>
      </c>
      <c r="E81" s="128">
        <f t="shared" ref="E81:M81" si="4">$C$77/$B$38</f>
        <v>-460800</v>
      </c>
      <c r="F81" s="128">
        <f t="shared" si="4"/>
        <v>-460800</v>
      </c>
      <c r="G81" s="128">
        <f t="shared" si="4"/>
        <v>-460800</v>
      </c>
      <c r="H81" s="128">
        <f t="shared" si="4"/>
        <v>-460800</v>
      </c>
      <c r="I81" s="128">
        <f t="shared" si="4"/>
        <v>-460800</v>
      </c>
      <c r="J81" s="128">
        <f t="shared" si="4"/>
        <v>-460800</v>
      </c>
      <c r="K81" s="128">
        <f t="shared" si="4"/>
        <v>-460800</v>
      </c>
      <c r="L81" s="128">
        <f t="shared" si="4"/>
        <v>-460800</v>
      </c>
      <c r="M81" s="128">
        <f t="shared" si="4"/>
        <v>-460800</v>
      </c>
      <c r="N81" s="128"/>
      <c r="O81" s="128"/>
      <c r="P81" s="128"/>
      <c r="Q81" s="128"/>
      <c r="R81" s="128"/>
    </row>
    <row r="82" spans="1:18" s="133" customFormat="1" ht="14.25" customHeight="1" x14ac:dyDescent="0.3">
      <c r="A82" s="130" t="s">
        <v>169</v>
      </c>
      <c r="B82" s="123"/>
      <c r="C82" s="124"/>
      <c r="D82" s="128">
        <f>-IPMT($B$40,D73,$B$38,$B$42*$C$77)</f>
        <v>-154206.72000000003</v>
      </c>
      <c r="E82" s="128">
        <f t="shared" ref="E82:M82" si="5">-IPMT($B$40,E73,$B$38,$B$42*$C$77)</f>
        <v>-142369.30835868834</v>
      </c>
      <c r="F82" s="128">
        <f t="shared" si="5"/>
        <v>-129851.24554800124</v>
      </c>
      <c r="G82" s="128">
        <f t="shared" si="5"/>
        <v>-116613.39412569963</v>
      </c>
      <c r="H82" s="128">
        <f t="shared" si="5"/>
        <v>-102614.36624661565</v>
      </c>
      <c r="I82" s="128">
        <f t="shared" si="5"/>
        <v>-87810.394264484363</v>
      </c>
      <c r="J82" s="128">
        <f t="shared" si="5"/>
        <v>-72155.193893380521</v>
      </c>
      <c r="K82" s="128">
        <f t="shared" si="5"/>
        <v>-55599.819500938218</v>
      </c>
      <c r="L82" s="128">
        <f t="shared" si="5"/>
        <v>-38092.511080930475</v>
      </c>
      <c r="M82" s="128">
        <f t="shared" si="5"/>
        <v>-19578.532426772283</v>
      </c>
      <c r="N82" s="128"/>
      <c r="O82" s="128"/>
      <c r="P82" s="128"/>
      <c r="Q82" s="128"/>
      <c r="R82" s="128"/>
    </row>
    <row r="83" spans="1:18" s="133" customFormat="1" ht="14.25" customHeight="1" x14ac:dyDescent="0.3">
      <c r="A83" s="130" t="s">
        <v>170</v>
      </c>
      <c r="B83" s="123"/>
      <c r="C83" s="124"/>
      <c r="D83" s="128">
        <f>-PPMT($B$40,D73,$B$38,$B$42*$C$77)</f>
        <v>-205868.02854455111</v>
      </c>
      <c r="E83" s="128">
        <f t="shared" ref="E83:M83" si="6">-PPMT($B$40,E73,$B$38,$B$42*$C$77)</f>
        <v>-217705.4401858628</v>
      </c>
      <c r="F83" s="128">
        <f t="shared" si="6"/>
        <v>-230223.50299654994</v>
      </c>
      <c r="G83" s="128">
        <f t="shared" si="6"/>
        <v>-243461.35441885152</v>
      </c>
      <c r="H83" s="128">
        <f t="shared" si="6"/>
        <v>-257460.38229793549</v>
      </c>
      <c r="I83" s="128">
        <f t="shared" si="6"/>
        <v>-272264.35428006679</v>
      </c>
      <c r="J83" s="128">
        <f t="shared" si="6"/>
        <v>-287919.55465117062</v>
      </c>
      <c r="K83" s="128">
        <f t="shared" si="6"/>
        <v>-304474.92904361297</v>
      </c>
      <c r="L83" s="128">
        <f t="shared" si="6"/>
        <v>-321982.23746362067</v>
      </c>
      <c r="M83" s="128">
        <f t="shared" si="6"/>
        <v>-340496.21611777885</v>
      </c>
      <c r="N83" s="128"/>
      <c r="O83" s="128"/>
      <c r="P83" s="128"/>
      <c r="Q83" s="128"/>
      <c r="R83" s="128"/>
    </row>
    <row r="84" spans="1:18" s="134" customFormat="1" ht="14.25" customHeight="1" x14ac:dyDescent="0.3">
      <c r="A84" s="124" t="s">
        <v>171</v>
      </c>
      <c r="B84" s="131"/>
      <c r="C84" s="122"/>
      <c r="D84" s="128">
        <f>SUM(D82:D83)</f>
        <v>-360074.74854455114</v>
      </c>
      <c r="E84" s="128">
        <f t="shared" ref="E84:M84" si="7">SUM(E82:E83)</f>
        <v>-360074.74854455114</v>
      </c>
      <c r="F84" s="128">
        <f>SUM(F82:F83)</f>
        <v>-360074.7485445512</v>
      </c>
      <c r="G84" s="128">
        <f t="shared" si="7"/>
        <v>-360074.74854455114</v>
      </c>
      <c r="H84" s="128">
        <f t="shared" si="7"/>
        <v>-360074.74854455114</v>
      </c>
      <c r="I84" s="128">
        <f t="shared" si="7"/>
        <v>-360074.74854455114</v>
      </c>
      <c r="J84" s="128">
        <f t="shared" si="7"/>
        <v>-360074.74854455114</v>
      </c>
      <c r="K84" s="128">
        <f t="shared" si="7"/>
        <v>-360074.7485445512</v>
      </c>
      <c r="L84" s="128">
        <f t="shared" si="7"/>
        <v>-360074.74854455114</v>
      </c>
      <c r="M84" s="128">
        <f t="shared" si="7"/>
        <v>-360074.74854455114</v>
      </c>
      <c r="N84" s="128"/>
      <c r="O84" s="128"/>
      <c r="P84" s="128"/>
      <c r="Q84" s="128"/>
      <c r="R84" s="128"/>
    </row>
    <row r="85" spans="1:18" s="133" customFormat="1" ht="14.25" customHeight="1" x14ac:dyDescent="0.3">
      <c r="A85" s="126" t="s">
        <v>172</v>
      </c>
      <c r="B85" s="126"/>
      <c r="C85" s="126"/>
      <c r="D85" s="126"/>
      <c r="E85" s="126"/>
      <c r="F85" s="126"/>
      <c r="G85" s="126"/>
      <c r="H85" s="126"/>
      <c r="I85" s="126"/>
      <c r="J85" s="126"/>
      <c r="K85" s="126"/>
      <c r="L85" s="126"/>
      <c r="M85" s="126"/>
      <c r="N85" s="126"/>
      <c r="O85" s="126"/>
      <c r="P85" s="126"/>
      <c r="Q85" s="126"/>
      <c r="R85" s="126"/>
    </row>
    <row r="86" spans="1:18" s="133" customFormat="1" ht="14.25" customHeight="1" x14ac:dyDescent="0.3">
      <c r="A86" s="124" t="s">
        <v>173</v>
      </c>
      <c r="B86" s="123"/>
      <c r="C86" s="124"/>
      <c r="D86" s="128">
        <f>D78+D79+D81+D82</f>
        <v>-1302499.07529212</v>
      </c>
      <c r="E86" s="128">
        <f t="shared" ref="E86:L86" si="8">E78+E79+E81+E82</f>
        <v>-1304411.5107566509</v>
      </c>
      <c r="F86" s="128">
        <f t="shared" si="8"/>
        <v>-1305918.2919939228</v>
      </c>
      <c r="G86" s="128">
        <f t="shared" si="8"/>
        <v>-1306985.7815005395</v>
      </c>
      <c r="H86" s="128">
        <f t="shared" si="8"/>
        <v>-1307578.2013689526</v>
      </c>
      <c r="I86" s="128">
        <f t="shared" si="8"/>
        <v>-1307657.506089268</v>
      </c>
      <c r="J86" s="128">
        <f t="shared" si="8"/>
        <v>-1307183.2479546599</v>
      </c>
      <c r="K86" s="128">
        <f t="shared" si="8"/>
        <v>-1306112.434643443</v>
      </c>
      <c r="L86" s="128">
        <f t="shared" si="8"/>
        <v>-1304399.3785262853</v>
      </c>
      <c r="M86" s="128">
        <f>M78+M79+M81+M82</f>
        <v>-1301995.5372210341</v>
      </c>
      <c r="N86" s="128">
        <f>N78+N79+N81+N82</f>
        <v>0</v>
      </c>
      <c r="O86" s="128">
        <f t="shared" ref="O86:P86" si="9">O78+O79+O81+O82</f>
        <v>0</v>
      </c>
      <c r="P86" s="128">
        <f t="shared" si="9"/>
        <v>0</v>
      </c>
      <c r="Q86" s="128">
        <f>Q78+Q79+Q81+Q82</f>
        <v>0</v>
      </c>
      <c r="R86" s="128">
        <f>R78+R79+R81+R82</f>
        <v>0</v>
      </c>
    </row>
    <row r="87" spans="1:18" s="133" customFormat="1" ht="14.25" customHeight="1" x14ac:dyDescent="0.3">
      <c r="A87" s="124" t="s">
        <v>172</v>
      </c>
      <c r="B87" s="123"/>
      <c r="C87" s="124"/>
      <c r="D87" s="128">
        <f>-D86*$B$44</f>
        <v>325624.76882303</v>
      </c>
      <c r="E87" s="128">
        <f t="shared" ref="E87:R87" si="10">-E86*$B$44</f>
        <v>326102.87768916273</v>
      </c>
      <c r="F87" s="128">
        <f t="shared" si="10"/>
        <v>326479.5729984807</v>
      </c>
      <c r="G87" s="128">
        <f t="shared" si="10"/>
        <v>326746.44537513488</v>
      </c>
      <c r="H87" s="128">
        <f t="shared" si="10"/>
        <v>326894.55034223816</v>
      </c>
      <c r="I87" s="128">
        <f t="shared" si="10"/>
        <v>326914.376522317</v>
      </c>
      <c r="J87" s="128">
        <f t="shared" si="10"/>
        <v>326795.81198866497</v>
      </c>
      <c r="K87" s="128">
        <f t="shared" si="10"/>
        <v>326528.10866086074</v>
      </c>
      <c r="L87" s="128">
        <f t="shared" si="10"/>
        <v>326099.84463157132</v>
      </c>
      <c r="M87" s="128">
        <f t="shared" si="10"/>
        <v>325498.88430525851</v>
      </c>
      <c r="N87" s="128">
        <f t="shared" si="10"/>
        <v>0</v>
      </c>
      <c r="O87" s="128">
        <f t="shared" si="10"/>
        <v>0</v>
      </c>
      <c r="P87" s="128">
        <f t="shared" si="10"/>
        <v>0</v>
      </c>
      <c r="Q87" s="128">
        <f t="shared" si="10"/>
        <v>0</v>
      </c>
      <c r="R87" s="128">
        <f t="shared" si="10"/>
        <v>0</v>
      </c>
    </row>
    <row r="88" spans="1:18" s="133" customFormat="1" ht="14.25" customHeight="1" x14ac:dyDescent="0.3">
      <c r="A88" s="126" t="s">
        <v>174</v>
      </c>
      <c r="B88" s="126"/>
      <c r="C88" s="126"/>
      <c r="D88" s="126"/>
      <c r="E88" s="126"/>
      <c r="F88" s="126"/>
      <c r="G88" s="126"/>
      <c r="H88" s="126"/>
      <c r="I88" s="126"/>
      <c r="J88" s="126"/>
      <c r="K88" s="126"/>
      <c r="L88" s="126"/>
      <c r="M88" s="126"/>
      <c r="N88" s="126"/>
      <c r="O88" s="126"/>
      <c r="P88" s="126"/>
      <c r="Q88" s="126"/>
      <c r="R88" s="126"/>
    </row>
    <row r="89" spans="1:18" s="133" customFormat="1" ht="14.25" customHeight="1" x14ac:dyDescent="0.3">
      <c r="A89" s="124" t="s">
        <v>175</v>
      </c>
      <c r="B89" s="123"/>
      <c r="C89" s="128">
        <f>C77*B43</f>
        <v>-1926144</v>
      </c>
      <c r="D89" s="128">
        <f>D78+D79+D84+D87</f>
        <v>-721942.33501364128</v>
      </c>
      <c r="E89" s="128">
        <f t="shared" ref="E89:L89" si="11">E78+E79+E84+E87</f>
        <v>-735214.0732533508</v>
      </c>
      <c r="F89" s="128">
        <f t="shared" si="11"/>
        <v>-748862.22199199232</v>
      </c>
      <c r="G89" s="128">
        <f t="shared" si="11"/>
        <v>-762900.69054425624</v>
      </c>
      <c r="H89" s="128">
        <f t="shared" si="11"/>
        <v>-777344.03332464991</v>
      </c>
      <c r="I89" s="128">
        <f t="shared" si="11"/>
        <v>-792207.48384701787</v>
      </c>
      <c r="J89" s="128">
        <f t="shared" si="11"/>
        <v>-807506.99061716557</v>
      </c>
      <c r="K89" s="128">
        <f t="shared" si="11"/>
        <v>-823259.25502619543</v>
      </c>
      <c r="L89" s="128">
        <f t="shared" si="11"/>
        <v>-839481.77135833469</v>
      </c>
      <c r="M89" s="128">
        <f>M78+M79+M84+M87</f>
        <v>-856192.86903355457</v>
      </c>
      <c r="N89" s="128">
        <f t="shared" ref="N89:R89" si="12">N78+N79+N84+N87</f>
        <v>0</v>
      </c>
      <c r="O89" s="128">
        <f t="shared" si="12"/>
        <v>0</v>
      </c>
      <c r="P89" s="128">
        <f t="shared" si="12"/>
        <v>0</v>
      </c>
      <c r="Q89" s="128">
        <f t="shared" si="12"/>
        <v>0</v>
      </c>
      <c r="R89" s="128">
        <f t="shared" si="12"/>
        <v>0</v>
      </c>
    </row>
    <row r="90" spans="1:18" s="133" customFormat="1" ht="14.25" customHeight="1" x14ac:dyDescent="0.3">
      <c r="A90" s="132" t="s">
        <v>176</v>
      </c>
      <c r="B90" s="123"/>
      <c r="C90" s="124"/>
      <c r="D90" s="128">
        <f t="shared" ref="D90:M90" si="13">(1-$B$44)*($B$15*$B$17)</f>
        <v>16500000</v>
      </c>
      <c r="E90" s="128">
        <f t="shared" si="13"/>
        <v>16500000</v>
      </c>
      <c r="F90" s="128">
        <f t="shared" si="13"/>
        <v>16500000</v>
      </c>
      <c r="G90" s="128">
        <f t="shared" si="13"/>
        <v>16500000</v>
      </c>
      <c r="H90" s="128">
        <f t="shared" si="13"/>
        <v>16500000</v>
      </c>
      <c r="I90" s="128">
        <f t="shared" si="13"/>
        <v>16500000</v>
      </c>
      <c r="J90" s="128">
        <f t="shared" si="13"/>
        <v>16500000</v>
      </c>
      <c r="K90" s="128">
        <f t="shared" si="13"/>
        <v>16500000</v>
      </c>
      <c r="L90" s="128">
        <f t="shared" si="13"/>
        <v>16500000</v>
      </c>
      <c r="M90" s="128">
        <f t="shared" si="13"/>
        <v>16500000</v>
      </c>
      <c r="N90" s="128">
        <f>IF($B$37&gt;=N$73,(1-$B$44)*($B$15*$B$17),0)</f>
        <v>0</v>
      </c>
      <c r="O90" s="128">
        <f>IF($B$37&gt;=O$73,(1-$B$44)*($B$15*$B$17),0)</f>
        <v>0</v>
      </c>
      <c r="P90" s="128">
        <f>IF($B$37&gt;=P$73,(1-$B$44)*($B$15*$B$17),0)</f>
        <v>0</v>
      </c>
      <c r="Q90" s="128">
        <f>IF($B$37&gt;=Q$73,(1-$B$44)*($B$15*$B$17),0)</f>
        <v>0</v>
      </c>
      <c r="R90" s="128">
        <f>IF($B$37&gt;=R$73,(1-$B$44)*($B$15*$B$17),0)</f>
        <v>0</v>
      </c>
    </row>
    <row r="91" spans="1:18" s="133" customFormat="1" ht="14.25" customHeight="1" x14ac:dyDescent="0.3">
      <c r="A91" s="124"/>
      <c r="B91" s="123"/>
      <c r="C91" s="124"/>
      <c r="D91" s="128"/>
      <c r="E91" s="128"/>
      <c r="F91" s="128"/>
      <c r="G91" s="128"/>
      <c r="H91" s="128"/>
      <c r="I91" s="128"/>
      <c r="J91" s="128"/>
      <c r="K91" s="128"/>
      <c r="L91" s="128"/>
      <c r="M91" s="128"/>
      <c r="N91" s="128"/>
      <c r="O91" s="128"/>
      <c r="P91" s="124"/>
      <c r="Q91" s="124"/>
      <c r="R91" s="124"/>
    </row>
    <row r="92" spans="1:18" s="133" customFormat="1" ht="14.25" customHeight="1" x14ac:dyDescent="0.3">
      <c r="A92" s="124"/>
      <c r="B92" s="123"/>
      <c r="C92" s="124"/>
      <c r="D92" s="128"/>
      <c r="E92" s="128"/>
      <c r="F92" s="128"/>
      <c r="G92" s="128"/>
      <c r="H92" s="128"/>
      <c r="I92" s="128"/>
      <c r="J92" s="128"/>
      <c r="K92" s="128"/>
      <c r="L92" s="128"/>
      <c r="M92" s="128"/>
      <c r="N92" s="128"/>
      <c r="O92" s="128"/>
      <c r="P92" s="124"/>
      <c r="Q92" s="124"/>
      <c r="R92" s="124"/>
    </row>
    <row r="93" spans="1:18" s="133" customFormat="1" ht="14.25" customHeight="1" x14ac:dyDescent="0.3">
      <c r="A93" s="124"/>
      <c r="B93" s="123"/>
      <c r="C93" s="124"/>
      <c r="D93" s="124"/>
      <c r="E93" s="124"/>
      <c r="F93" s="124"/>
      <c r="G93" s="124"/>
      <c r="H93" s="124"/>
      <c r="I93" s="124"/>
      <c r="J93" s="124"/>
      <c r="K93" s="124"/>
      <c r="L93" s="124"/>
      <c r="M93" s="124"/>
      <c r="N93" s="124"/>
      <c r="O93" s="124"/>
      <c r="P93" s="124"/>
      <c r="Q93" s="124"/>
      <c r="R93" s="124"/>
    </row>
    <row r="94" spans="1:18" s="133" customFormat="1" ht="5.0999999999999996" customHeight="1" x14ac:dyDescent="0.3">
      <c r="B94" s="135"/>
    </row>
    <row r="95" spans="1:18" s="133" customFormat="1" ht="14.25" customHeight="1" x14ac:dyDescent="0.3">
      <c r="B95" s="136" t="s">
        <v>12</v>
      </c>
      <c r="C95" s="137" t="s">
        <v>13</v>
      </c>
    </row>
    <row r="96" spans="1:18" s="133" customFormat="1" ht="14.25" customHeight="1" x14ac:dyDescent="0.3">
      <c r="A96" s="134" t="s">
        <v>177</v>
      </c>
      <c r="B96" s="138">
        <f>ROUND(((-C89-NPV(B41,D89:R89))/NPV(B41,D90:R90)),4)</f>
        <v>6.7500000000000004E-2</v>
      </c>
      <c r="C96" s="133" t="s">
        <v>178</v>
      </c>
    </row>
    <row r="97" spans="1:18" s="133" customFormat="1" ht="14.25" customHeight="1" x14ac:dyDescent="0.3">
      <c r="A97" s="120" t="s">
        <v>77</v>
      </c>
      <c r="B97" s="143">
        <f>B96/B34*1000</f>
        <v>346.3669950738917</v>
      </c>
      <c r="C97" s="120" t="s">
        <v>179</v>
      </c>
    </row>
    <row r="98" spans="1:18" s="133" customFormat="1" ht="5.0999999999999996" customHeight="1" x14ac:dyDescent="0.3">
      <c r="A98" s="134"/>
      <c r="B98" s="139"/>
    </row>
    <row r="99" spans="1:18" s="142" customFormat="1" x14ac:dyDescent="0.2">
      <c r="A99" s="140"/>
      <c r="B99" s="141"/>
      <c r="C99" s="140"/>
      <c r="D99" s="140"/>
      <c r="E99" s="140"/>
      <c r="F99" s="140"/>
      <c r="G99" s="140"/>
      <c r="H99" s="140"/>
      <c r="I99" s="140"/>
      <c r="J99" s="140"/>
      <c r="K99" s="140"/>
      <c r="L99" s="140"/>
      <c r="M99" s="140"/>
      <c r="N99" s="140"/>
      <c r="O99" s="140"/>
      <c r="P99" s="140"/>
      <c r="Q99" s="140"/>
      <c r="R99" s="140"/>
    </row>
    <row r="100" spans="1:18" s="72" customFormat="1" ht="14.25" customHeight="1" x14ac:dyDescent="0.3">
      <c r="A100" s="95" t="s">
        <v>158</v>
      </c>
      <c r="B100" s="96">
        <f>B55+B56</f>
        <v>245.79416492158515</v>
      </c>
      <c r="C100" s="40" t="s">
        <v>91</v>
      </c>
      <c r="D100" s="76"/>
      <c r="E100" s="40"/>
      <c r="F100" s="40"/>
      <c r="G100" s="40"/>
      <c r="H100" s="40"/>
      <c r="I100" s="40"/>
      <c r="J100" s="89"/>
      <c r="K100" s="40"/>
      <c r="L100" s="40"/>
      <c r="M100" s="40"/>
      <c r="N100" s="40"/>
      <c r="O100" s="40"/>
      <c r="P100" s="40"/>
      <c r="Q100" s="40"/>
      <c r="R100" s="40"/>
    </row>
    <row r="101" spans="1:18" s="72" customFormat="1" ht="14.25" customHeight="1" x14ac:dyDescent="0.3">
      <c r="A101" s="95" t="s">
        <v>159</v>
      </c>
      <c r="B101" s="96">
        <f>B55+B57</f>
        <v>182.86592190023867</v>
      </c>
      <c r="C101" s="40" t="s">
        <v>91</v>
      </c>
      <c r="D101" s="76"/>
      <c r="E101" s="40"/>
      <c r="F101" s="40"/>
      <c r="G101" s="40"/>
      <c r="H101" s="40"/>
      <c r="I101" s="40"/>
      <c r="J101" s="89"/>
      <c r="K101" s="40"/>
      <c r="L101" s="40"/>
      <c r="M101" s="40"/>
      <c r="N101" s="40"/>
      <c r="O101" s="40"/>
      <c r="P101" s="40"/>
      <c r="Q101" s="40"/>
      <c r="R101" s="40"/>
    </row>
    <row r="102" spans="1:18" s="72" customFormat="1" ht="14.25" customHeight="1" x14ac:dyDescent="0.3">
      <c r="A102" s="95" t="s">
        <v>160</v>
      </c>
      <c r="B102" s="96">
        <f>B55</f>
        <v>136.93907460959826</v>
      </c>
      <c r="C102" s="40" t="s">
        <v>91</v>
      </c>
      <c r="D102" s="76"/>
      <c r="E102" s="40"/>
      <c r="F102" s="40"/>
      <c r="G102" s="40"/>
      <c r="H102" s="40"/>
      <c r="I102" s="40"/>
      <c r="J102" s="89"/>
      <c r="K102" s="40"/>
      <c r="L102" s="40"/>
      <c r="M102" s="40"/>
      <c r="N102" s="40"/>
      <c r="O102" s="40"/>
      <c r="P102" s="40"/>
      <c r="Q102" s="40"/>
      <c r="R102" s="40"/>
    </row>
    <row r="103" spans="1:18" s="72" customFormat="1" ht="14.25" customHeight="1" x14ac:dyDescent="0.3">
      <c r="A103" s="95"/>
      <c r="B103" s="96"/>
      <c r="C103" s="40"/>
      <c r="D103" s="76"/>
      <c r="E103" s="40"/>
      <c r="F103" s="40"/>
      <c r="G103" s="40"/>
      <c r="H103" s="40"/>
      <c r="I103" s="40"/>
      <c r="J103" s="89"/>
      <c r="K103" s="40"/>
      <c r="L103" s="40"/>
      <c r="M103" s="40"/>
      <c r="N103" s="40"/>
      <c r="O103" s="40"/>
      <c r="P103" s="40"/>
      <c r="Q103" s="40"/>
      <c r="R103" s="40"/>
    </row>
    <row r="104" spans="1:18" s="142" customFormat="1" x14ac:dyDescent="0.2">
      <c r="A104" s="140"/>
      <c r="B104" s="141"/>
      <c r="C104" s="140"/>
      <c r="D104" s="140"/>
      <c r="E104" s="140"/>
      <c r="F104" s="140"/>
      <c r="G104" s="140"/>
      <c r="H104" s="140"/>
      <c r="I104" s="140"/>
      <c r="J104" s="140"/>
      <c r="K104" s="140"/>
      <c r="L104" s="140"/>
      <c r="M104" s="140"/>
      <c r="N104" s="140"/>
      <c r="O104" s="140"/>
      <c r="P104" s="140"/>
      <c r="Q104" s="140"/>
      <c r="R104" s="140"/>
    </row>
    <row r="105" spans="1:18" x14ac:dyDescent="0.2">
      <c r="A105" s="7"/>
      <c r="C105" s="5"/>
      <c r="D105" s="5"/>
      <c r="E105" s="5"/>
      <c r="F105" s="5"/>
      <c r="G105" s="5"/>
      <c r="H105" s="5"/>
      <c r="I105" s="5"/>
      <c r="J105" s="5"/>
    </row>
    <row r="106" spans="1:18" x14ac:dyDescent="0.2">
      <c r="C106" s="5"/>
      <c r="D106" s="5"/>
      <c r="E106" s="5"/>
      <c r="F106" s="5"/>
      <c r="G106" s="5"/>
      <c r="H106" s="5"/>
      <c r="I106" s="5"/>
      <c r="J106" s="5"/>
    </row>
    <row r="107" spans="1:18" x14ac:dyDescent="0.2">
      <c r="C107" s="5"/>
      <c r="D107" s="5"/>
      <c r="E107" s="5"/>
      <c r="F107" s="5"/>
      <c r="G107" s="5"/>
      <c r="H107" s="5"/>
      <c r="I107" s="5"/>
      <c r="J107" s="5"/>
    </row>
    <row r="108" spans="1:18" x14ac:dyDescent="0.2">
      <c r="C108" s="5"/>
      <c r="D108" s="5"/>
      <c r="E108" s="5"/>
      <c r="F108" s="5"/>
      <c r="G108" s="5"/>
      <c r="H108" s="5"/>
      <c r="I108" s="5"/>
      <c r="J108" s="5"/>
    </row>
    <row r="109" spans="1:18" x14ac:dyDescent="0.2">
      <c r="C109" s="5"/>
      <c r="D109" s="5"/>
      <c r="E109" s="5"/>
      <c r="F109" s="5"/>
      <c r="G109" s="5"/>
      <c r="H109" s="5"/>
      <c r="I109" s="5"/>
      <c r="J109" s="5"/>
    </row>
    <row r="110" spans="1:18" x14ac:dyDescent="0.2">
      <c r="C110" s="5"/>
      <c r="D110" s="5"/>
      <c r="E110" s="5"/>
      <c r="F110" s="5"/>
      <c r="G110" s="5"/>
      <c r="H110" s="5"/>
      <c r="I110" s="5"/>
      <c r="J110" s="5"/>
    </row>
    <row r="111" spans="1:18" x14ac:dyDescent="0.2">
      <c r="C111" s="5"/>
      <c r="D111" s="5"/>
      <c r="E111" s="5"/>
      <c r="F111" s="5"/>
      <c r="G111" s="5"/>
      <c r="H111" s="5"/>
      <c r="I111" s="5"/>
      <c r="J111" s="5"/>
    </row>
    <row r="112" spans="1:18" x14ac:dyDescent="0.2">
      <c r="C112" s="5"/>
      <c r="D112" s="5"/>
      <c r="E112" s="5"/>
      <c r="F112" s="5"/>
      <c r="G112" s="5"/>
      <c r="H112" s="5"/>
      <c r="I112" s="5"/>
      <c r="J112" s="5"/>
    </row>
    <row r="113" spans="1:10" x14ac:dyDescent="0.2">
      <c r="C113" s="5"/>
      <c r="D113" s="5"/>
      <c r="E113" s="5"/>
      <c r="F113" s="5"/>
      <c r="G113" s="5"/>
      <c r="H113" s="5"/>
      <c r="I113" s="5"/>
      <c r="J113" s="5"/>
    </row>
    <row r="116" spans="1:10" x14ac:dyDescent="0.2">
      <c r="A116" s="7"/>
      <c r="B116" s="4"/>
    </row>
    <row r="117" spans="1:10" x14ac:dyDescent="0.2">
      <c r="A117" s="7"/>
      <c r="C117" s="5"/>
      <c r="D117" s="5"/>
      <c r="E117" s="5"/>
      <c r="F117" s="5"/>
      <c r="G117" s="5"/>
      <c r="H117" s="5"/>
      <c r="I117" s="5"/>
      <c r="J117" s="5"/>
    </row>
    <row r="118" spans="1:10" x14ac:dyDescent="0.2">
      <c r="C118" s="5"/>
      <c r="D118" s="5"/>
      <c r="E118" s="5"/>
      <c r="F118" s="5"/>
      <c r="G118" s="5"/>
      <c r="H118" s="5"/>
      <c r="I118" s="5"/>
      <c r="J118" s="5"/>
    </row>
    <row r="119" spans="1:10" x14ac:dyDescent="0.2">
      <c r="C119" s="5"/>
      <c r="D119" s="5"/>
      <c r="E119" s="5"/>
      <c r="F119" s="5"/>
      <c r="G119" s="5"/>
      <c r="H119" s="5"/>
      <c r="I119" s="5"/>
      <c r="J119" s="5"/>
    </row>
    <row r="120" spans="1:10" x14ac:dyDescent="0.2">
      <c r="C120" s="5"/>
      <c r="D120" s="5"/>
      <c r="E120" s="5"/>
      <c r="F120" s="5"/>
      <c r="G120" s="5"/>
      <c r="H120" s="5"/>
      <c r="I120" s="5"/>
      <c r="J120" s="5"/>
    </row>
    <row r="121" spans="1:10" x14ac:dyDescent="0.2">
      <c r="C121" s="5"/>
      <c r="D121" s="5"/>
      <c r="E121" s="5"/>
      <c r="F121" s="5"/>
      <c r="G121" s="5"/>
      <c r="H121" s="5"/>
      <c r="I121" s="5"/>
      <c r="J121" s="5"/>
    </row>
    <row r="122" spans="1:10" x14ac:dyDescent="0.2">
      <c r="C122" s="5"/>
      <c r="D122" s="5"/>
      <c r="E122" s="5"/>
      <c r="F122" s="5"/>
      <c r="G122" s="5"/>
      <c r="H122" s="5"/>
      <c r="I122" s="5"/>
      <c r="J122" s="5"/>
    </row>
    <row r="123" spans="1:10" x14ac:dyDescent="0.2">
      <c r="C123" s="5"/>
      <c r="D123" s="5"/>
      <c r="E123" s="5"/>
      <c r="F123" s="5"/>
      <c r="G123" s="5"/>
      <c r="H123" s="5"/>
      <c r="I123" s="5"/>
      <c r="J123" s="5"/>
    </row>
    <row r="124" spans="1:10" x14ac:dyDescent="0.2">
      <c r="C124" s="5"/>
      <c r="D124" s="5"/>
      <c r="E124" s="5"/>
      <c r="F124" s="5"/>
      <c r="G124" s="5"/>
      <c r="H124" s="5"/>
      <c r="I124" s="5"/>
      <c r="J124" s="5"/>
    </row>
    <row r="128" spans="1:10" x14ac:dyDescent="0.2">
      <c r="B128" s="4"/>
    </row>
    <row r="129" spans="1:10" x14ac:dyDescent="0.2">
      <c r="A129" s="7"/>
      <c r="C129" s="9"/>
      <c r="D129" s="9"/>
      <c r="E129" s="9"/>
      <c r="F129" s="9"/>
      <c r="G129" s="9"/>
      <c r="H129" s="9"/>
    </row>
    <row r="130" spans="1:10" x14ac:dyDescent="0.2">
      <c r="C130" s="9"/>
      <c r="D130" s="9"/>
      <c r="E130" s="9"/>
      <c r="F130" s="9"/>
      <c r="G130" s="9"/>
      <c r="H130" s="9"/>
    </row>
    <row r="131" spans="1:10" x14ac:dyDescent="0.2">
      <c r="C131" s="9"/>
      <c r="D131" s="9"/>
      <c r="E131" s="9"/>
      <c r="F131" s="9"/>
      <c r="G131" s="9"/>
      <c r="H131" s="9"/>
    </row>
    <row r="132" spans="1:10" x14ac:dyDescent="0.2">
      <c r="C132" s="9"/>
      <c r="D132" s="9"/>
      <c r="E132" s="9"/>
      <c r="F132" s="9"/>
      <c r="G132" s="9"/>
      <c r="H132" s="9"/>
    </row>
    <row r="133" spans="1:10" x14ac:dyDescent="0.2">
      <c r="C133" s="9"/>
      <c r="D133" s="9"/>
      <c r="E133" s="9"/>
      <c r="F133" s="9"/>
      <c r="G133" s="9"/>
      <c r="H133" s="9"/>
    </row>
    <row r="134" spans="1:10" x14ac:dyDescent="0.2">
      <c r="A134" s="7"/>
      <c r="C134" s="9"/>
      <c r="D134" s="9"/>
      <c r="E134" s="9"/>
      <c r="F134" s="9"/>
      <c r="G134" s="9"/>
      <c r="H134" s="9"/>
      <c r="I134" s="5"/>
      <c r="J134" s="5"/>
    </row>
    <row r="135" spans="1:10" x14ac:dyDescent="0.2">
      <c r="C135" s="9"/>
      <c r="D135" s="9"/>
      <c r="E135" s="9"/>
      <c r="F135" s="9"/>
      <c r="G135" s="9"/>
      <c r="H135" s="9"/>
      <c r="I135" s="5"/>
      <c r="J135" s="5"/>
    </row>
    <row r="136" spans="1:10" x14ac:dyDescent="0.2">
      <c r="C136" s="9"/>
      <c r="D136" s="9"/>
      <c r="E136" s="9"/>
      <c r="F136" s="9"/>
      <c r="G136" s="9"/>
      <c r="H136" s="9"/>
      <c r="I136" s="5"/>
      <c r="J136" s="5"/>
    </row>
    <row r="137" spans="1:10" x14ac:dyDescent="0.2">
      <c r="C137" s="9"/>
      <c r="D137" s="9"/>
      <c r="E137" s="9"/>
      <c r="F137" s="9"/>
      <c r="G137" s="9"/>
      <c r="H137" s="9"/>
      <c r="I137" s="5"/>
      <c r="J137" s="5"/>
    </row>
    <row r="138" spans="1:10" x14ac:dyDescent="0.2">
      <c r="C138" s="9"/>
      <c r="D138" s="9"/>
      <c r="E138" s="9"/>
      <c r="F138" s="9"/>
      <c r="G138" s="9"/>
      <c r="H138" s="9"/>
      <c r="I138" s="5"/>
      <c r="J138" s="5"/>
    </row>
    <row r="139" spans="1:10" x14ac:dyDescent="0.2">
      <c r="C139" s="9"/>
      <c r="D139" s="9"/>
      <c r="E139" s="9"/>
      <c r="F139" s="9"/>
      <c r="G139" s="9"/>
      <c r="H139" s="9"/>
      <c r="I139" s="5"/>
      <c r="J139" s="5"/>
    </row>
    <row r="140" spans="1:10" x14ac:dyDescent="0.2">
      <c r="C140" s="9"/>
      <c r="D140" s="9"/>
      <c r="E140" s="9"/>
      <c r="F140" s="9"/>
      <c r="G140" s="9"/>
      <c r="H140" s="9"/>
      <c r="I140" s="5"/>
      <c r="J140" s="5"/>
    </row>
    <row r="141" spans="1:10" ht="14.4" x14ac:dyDescent="0.3">
      <c r="B141" s="8"/>
      <c r="C141" s="5"/>
      <c r="D141" s="5"/>
      <c r="E141" s="5"/>
      <c r="F141" s="5"/>
      <c r="G141" s="5"/>
      <c r="H141" s="5"/>
      <c r="I141" s="5"/>
      <c r="J141" s="5"/>
    </row>
    <row r="142" spans="1:10" ht="14.4" x14ac:dyDescent="0.3">
      <c r="B142" s="8"/>
      <c r="C142" s="5"/>
      <c r="D142" s="5"/>
      <c r="E142" s="5"/>
      <c r="F142" s="5"/>
      <c r="G142" s="5"/>
      <c r="H142" s="5"/>
      <c r="I142" s="5"/>
      <c r="J142" s="5"/>
    </row>
    <row r="143" spans="1:10" ht="14.4" x14ac:dyDescent="0.3">
      <c r="B143" s="8"/>
    </row>
  </sheetData>
  <sheetProtection algorithmName="SHA-512" hashValue="R++lDefirwNzo7Oegydp6vh7raIQx/lYrr2yzP4BlzGaGe+9HWulNz9CQjNkVd+yMbR3ktaAP5g4eZFYd9lJXw==" saltValue="Af83rqXZMAFjDyZqRHZiBQ==" spinCount="100000" sheet="1" objects="1" scenarios="1"/>
  <mergeCells count="2">
    <mergeCell ref="A10:R10"/>
    <mergeCell ref="A71:R71"/>
  </mergeCells>
  <conditionalFormatting sqref="A14:C14">
    <cfRule type="expression" dxfId="14" priority="3">
      <formula>B14=1</formula>
    </cfRule>
  </conditionalFormatting>
  <conditionalFormatting sqref="A16:D16">
    <cfRule type="expression" dxfId="13" priority="2">
      <formula>$B$16=1</formula>
    </cfRule>
  </conditionalFormatting>
  <conditionalFormatting sqref="P78:R79 P86:R87 P89:R90">
    <cfRule type="cellIs" dxfId="12" priority="1" operator="equal">
      <formula>0</formula>
    </cfRule>
  </conditionalFormatting>
  <dataValidations count="1">
    <dataValidation type="list" allowBlank="1" showInputMessage="1" showErrorMessage="1" sqref="A5:A6" xr:uid="{4FBBD7D8-666C-425D-AB6D-673231CEEBCF}">
      <formula1>INDIRECT("tech_param[Technologie]")</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252FD-2535-4432-9F56-FA24BD7D21AE}">
  <sheetPr>
    <tabColor rgb="FF009B48"/>
  </sheetPr>
  <dimension ref="A1:R143"/>
  <sheetViews>
    <sheetView showGridLines="0" topLeftCell="A66" workbookViewId="0">
      <selection activeCell="A7" sqref="A7"/>
    </sheetView>
  </sheetViews>
  <sheetFormatPr defaultColWidth="8.88671875" defaultRowHeight="11.4" x14ac:dyDescent="0.2"/>
  <cols>
    <col min="1" max="1" width="55.6640625" style="1" customWidth="1"/>
    <col min="2" max="2" width="18.33203125" style="3" customWidth="1"/>
    <col min="3" max="3" width="15" style="1" customWidth="1"/>
    <col min="4" max="13" width="11.6640625" style="1" customWidth="1"/>
    <col min="14" max="15" width="11.6640625" style="1" hidden="1" customWidth="1"/>
    <col min="16" max="16" width="11.33203125" style="1" hidden="1" customWidth="1"/>
    <col min="17" max="18" width="12" style="1" hidden="1" customWidth="1"/>
    <col min="19" max="16384" width="8.88671875" style="21"/>
  </cols>
  <sheetData>
    <row r="1" spans="1:18" s="10" customFormat="1" ht="14.25" customHeight="1" x14ac:dyDescent="0.2">
      <c r="A1" s="64"/>
      <c r="B1" s="63"/>
      <c r="C1" s="63"/>
      <c r="D1" s="63"/>
      <c r="E1" s="63"/>
      <c r="F1" s="63"/>
      <c r="G1" s="63"/>
      <c r="H1" s="63"/>
      <c r="I1" s="63"/>
      <c r="J1" s="63"/>
      <c r="K1" s="63"/>
      <c r="L1" s="63"/>
      <c r="M1" s="63"/>
      <c r="N1" s="63"/>
      <c r="O1" s="63"/>
      <c r="P1" s="63"/>
      <c r="Q1" s="63"/>
      <c r="R1" s="63"/>
    </row>
    <row r="2" spans="1:18" s="16" customFormat="1" ht="28.2" customHeight="1" x14ac:dyDescent="0.3">
      <c r="A2" s="71" t="s">
        <v>0</v>
      </c>
      <c r="B2" s="63"/>
      <c r="C2" s="63"/>
      <c r="D2" s="63"/>
      <c r="E2" s="63"/>
      <c r="F2" s="63"/>
      <c r="G2" s="63"/>
      <c r="H2" s="63"/>
      <c r="I2" s="63"/>
      <c r="J2" s="63"/>
      <c r="K2" s="63"/>
      <c r="L2" s="63"/>
      <c r="M2" s="63"/>
      <c r="N2" s="63"/>
      <c r="O2" s="63"/>
      <c r="P2" s="63"/>
      <c r="Q2" s="63"/>
      <c r="R2" s="63"/>
    </row>
    <row r="3" spans="1:18" s="10" customFormat="1" ht="14.25" customHeight="1" x14ac:dyDescent="0.2">
      <c r="A3" s="63"/>
      <c r="B3" s="63"/>
      <c r="C3" s="63"/>
      <c r="D3" s="63"/>
      <c r="E3" s="63"/>
      <c r="F3" s="63"/>
      <c r="G3" s="63"/>
      <c r="H3" s="63"/>
      <c r="I3" s="63"/>
      <c r="J3" s="63"/>
      <c r="K3" s="63"/>
      <c r="L3" s="63"/>
      <c r="M3" s="63"/>
      <c r="N3" s="63"/>
      <c r="O3" s="63"/>
      <c r="P3" s="63"/>
      <c r="Q3" s="63"/>
      <c r="R3" s="63"/>
    </row>
    <row r="4" spans="1:18" s="14" customFormat="1" ht="14.25" customHeight="1" x14ac:dyDescent="0.3">
      <c r="A4" s="11"/>
      <c r="B4" s="12"/>
      <c r="C4" s="11"/>
      <c r="D4" s="11"/>
      <c r="E4" s="11"/>
      <c r="F4" s="11"/>
      <c r="G4" s="11"/>
      <c r="H4" s="11"/>
      <c r="I4" s="11"/>
      <c r="J4" s="11"/>
      <c r="K4" s="11"/>
      <c r="L4" s="11"/>
      <c r="M4" s="11"/>
      <c r="N4" s="11"/>
      <c r="O4" s="11"/>
      <c r="P4" s="11"/>
      <c r="Q4" s="11"/>
      <c r="R4" s="11"/>
    </row>
    <row r="5" spans="1:18" s="20" customFormat="1" ht="28.8" x14ac:dyDescent="0.2">
      <c r="A5" s="113" t="s">
        <v>95</v>
      </c>
      <c r="B5" s="112"/>
      <c r="C5" s="112"/>
      <c r="D5" s="112"/>
      <c r="E5" s="112"/>
      <c r="F5" s="112"/>
      <c r="G5" s="112"/>
      <c r="H5" s="112"/>
      <c r="I5" s="112"/>
      <c r="J5" s="112"/>
      <c r="K5" s="112"/>
      <c r="L5" s="112"/>
      <c r="M5" s="112"/>
      <c r="N5" s="112"/>
      <c r="O5" s="112"/>
      <c r="P5" s="112"/>
      <c r="Q5" s="112"/>
      <c r="R5" s="112"/>
    </row>
    <row r="6" spans="1:18" s="95" customFormat="1" ht="5.0999999999999996" customHeight="1" x14ac:dyDescent="0.3">
      <c r="A6" s="114"/>
      <c r="B6" s="98"/>
      <c r="C6" s="98"/>
      <c r="D6" s="98"/>
      <c r="E6" s="98"/>
      <c r="F6" s="98"/>
      <c r="G6" s="98"/>
      <c r="H6" s="98"/>
      <c r="I6" s="98"/>
      <c r="J6" s="98"/>
      <c r="K6" s="98"/>
      <c r="L6" s="98"/>
      <c r="M6" s="98"/>
      <c r="N6" s="98"/>
      <c r="O6" s="98"/>
    </row>
    <row r="7" spans="1:18" s="24" customFormat="1" ht="14.25" customHeight="1" x14ac:dyDescent="0.3">
      <c r="A7" s="22"/>
      <c r="B7" s="23"/>
      <c r="C7" s="17"/>
      <c r="D7" s="17"/>
      <c r="E7" s="17"/>
      <c r="F7" s="17"/>
      <c r="G7" s="17"/>
      <c r="H7" s="17"/>
      <c r="I7" s="17"/>
      <c r="J7" s="17"/>
      <c r="K7" s="17"/>
      <c r="L7" s="17"/>
      <c r="M7" s="17"/>
      <c r="N7" s="17"/>
      <c r="O7" s="17"/>
      <c r="P7" s="17"/>
      <c r="Q7" s="17"/>
      <c r="R7" s="17"/>
    </row>
    <row r="8" spans="1:18" s="14" customFormat="1" ht="14.25" customHeight="1" x14ac:dyDescent="0.3">
      <c r="A8" s="11"/>
      <c r="B8" s="12"/>
      <c r="C8" s="11"/>
      <c r="D8" s="11"/>
      <c r="E8" s="11"/>
      <c r="F8" s="11"/>
      <c r="G8" s="11"/>
      <c r="H8" s="11"/>
      <c r="I8" s="11"/>
      <c r="J8" s="11"/>
      <c r="K8" s="11"/>
      <c r="L8" s="11"/>
      <c r="M8" s="11"/>
      <c r="N8" s="11"/>
      <c r="O8" s="11"/>
      <c r="P8" s="11"/>
      <c r="Q8" s="11"/>
      <c r="R8" s="11"/>
    </row>
    <row r="9" spans="1:18" s="117" customFormat="1" ht="14.25" customHeight="1" x14ac:dyDescent="0.3">
      <c r="A9" s="116" t="s">
        <v>102</v>
      </c>
      <c r="B9" s="116"/>
      <c r="C9" s="116"/>
      <c r="D9" s="116"/>
      <c r="E9" s="116"/>
      <c r="F9" s="116"/>
      <c r="G9" s="116"/>
      <c r="H9" s="116"/>
      <c r="I9" s="116"/>
      <c r="J9" s="116"/>
      <c r="K9" s="116"/>
    </row>
    <row r="10" spans="1:18" s="95" customFormat="1" ht="14.25" customHeight="1" x14ac:dyDescent="0.3">
      <c r="A10" s="166" t="s">
        <v>1</v>
      </c>
      <c r="B10" s="167"/>
      <c r="C10" s="167"/>
      <c r="D10" s="167"/>
      <c r="E10" s="167"/>
      <c r="F10" s="167"/>
      <c r="G10" s="167"/>
      <c r="H10" s="167"/>
      <c r="I10" s="167"/>
      <c r="J10" s="167"/>
      <c r="K10" s="167"/>
      <c r="L10" s="167"/>
      <c r="M10" s="167"/>
      <c r="N10" s="167"/>
      <c r="O10" s="168"/>
      <c r="P10" s="168"/>
      <c r="Q10" s="168"/>
      <c r="R10" s="168"/>
    </row>
    <row r="11" spans="1:18" s="72" customFormat="1" ht="14.25" customHeight="1" x14ac:dyDescent="0.3">
      <c r="A11" s="73"/>
      <c r="B11" s="74"/>
      <c r="C11" s="40"/>
      <c r="D11" s="40"/>
      <c r="E11" s="40"/>
      <c r="F11" s="40"/>
      <c r="G11" s="40"/>
      <c r="H11" s="40"/>
      <c r="I11" s="40"/>
      <c r="J11" s="40"/>
      <c r="K11" s="40"/>
      <c r="L11" s="40"/>
      <c r="M11" s="40"/>
      <c r="N11" s="40"/>
      <c r="O11" s="40"/>
      <c r="P11" s="40"/>
      <c r="Q11" s="40"/>
      <c r="R11" s="40"/>
    </row>
    <row r="12" spans="1:18" s="109" customFormat="1" ht="14.25" customHeight="1" x14ac:dyDescent="0.3">
      <c r="A12" s="108" t="s">
        <v>103</v>
      </c>
      <c r="B12" s="50" t="s">
        <v>12</v>
      </c>
      <c r="C12" s="108" t="s">
        <v>13</v>
      </c>
      <c r="D12" s="108"/>
      <c r="E12" s="54"/>
      <c r="F12" s="54"/>
      <c r="G12" s="54"/>
      <c r="H12" s="54"/>
      <c r="I12" s="54"/>
      <c r="J12" s="54"/>
      <c r="K12" s="54"/>
      <c r="L12" s="54"/>
      <c r="M12" s="54"/>
      <c r="N12" s="54"/>
      <c r="O12" s="54"/>
      <c r="P12" s="54"/>
      <c r="Q12" s="54"/>
      <c r="R12" s="54"/>
    </row>
    <row r="13" spans="1:18" s="72" customFormat="1" ht="14.25" customHeight="1" x14ac:dyDescent="0.3">
      <c r="A13" s="40" t="s">
        <v>65</v>
      </c>
      <c r="B13" s="62">
        <f>VLOOKUP($A$5,tech_param[],3,FALSE)</f>
        <v>800</v>
      </c>
      <c r="C13" s="40" t="s">
        <v>104</v>
      </c>
      <c r="D13" s="76"/>
      <c r="E13" s="40"/>
      <c r="F13" s="40"/>
      <c r="G13" s="40"/>
      <c r="H13" s="40"/>
      <c r="I13" s="40"/>
      <c r="J13" s="40"/>
      <c r="K13" s="40"/>
      <c r="L13" s="40"/>
      <c r="M13" s="40"/>
      <c r="N13" s="40"/>
      <c r="O13" s="40"/>
      <c r="P13" s="40"/>
      <c r="Q13" s="40"/>
      <c r="R13" s="40"/>
    </row>
    <row r="14" spans="1:18" s="72" customFormat="1" ht="14.25" customHeight="1" x14ac:dyDescent="0.3">
      <c r="A14" s="40" t="s">
        <v>105</v>
      </c>
      <c r="B14" s="45">
        <f>VLOOKUP($A$5,tech_param[],4,FALSE)</f>
        <v>1</v>
      </c>
      <c r="C14" s="40" t="s">
        <v>106</v>
      </c>
      <c r="D14" s="76"/>
      <c r="E14" s="40"/>
      <c r="F14" s="40"/>
      <c r="G14" s="40"/>
      <c r="H14" s="40"/>
      <c r="I14" s="40"/>
      <c r="J14" s="40"/>
      <c r="K14" s="40"/>
      <c r="L14" s="40"/>
      <c r="M14" s="40"/>
      <c r="N14" s="40"/>
      <c r="O14" s="40"/>
      <c r="P14" s="40"/>
      <c r="Q14" s="40"/>
      <c r="R14" s="40"/>
    </row>
    <row r="15" spans="1:18" s="72" customFormat="1" ht="14.25" customHeight="1" x14ac:dyDescent="0.3">
      <c r="A15" s="40" t="s">
        <v>107</v>
      </c>
      <c r="B15" s="77">
        <f>B13*B14*B16</f>
        <v>2800</v>
      </c>
      <c r="C15" s="40" t="s">
        <v>108</v>
      </c>
      <c r="D15" s="76"/>
      <c r="E15" s="40"/>
      <c r="F15" s="40"/>
      <c r="G15" s="40"/>
      <c r="H15" s="40"/>
      <c r="I15" s="40"/>
      <c r="J15" s="40"/>
      <c r="K15" s="40"/>
      <c r="L15" s="40"/>
      <c r="M15" s="40"/>
      <c r="N15" s="40"/>
      <c r="O15" s="40"/>
      <c r="P15" s="40"/>
      <c r="Q15" s="40"/>
      <c r="R15" s="40"/>
    </row>
    <row r="16" spans="1:18" s="72" customFormat="1" ht="14.25" customHeight="1" x14ac:dyDescent="0.3">
      <c r="A16" s="40" t="s">
        <v>109</v>
      </c>
      <c r="B16" s="78">
        <f>VLOOKUP($A$5,tech_param[],5,FALSE)</f>
        <v>3.5</v>
      </c>
      <c r="C16" s="79" t="s">
        <v>110</v>
      </c>
      <c r="D16" s="153" t="s">
        <v>111</v>
      </c>
      <c r="E16" s="40"/>
      <c r="F16" s="40"/>
      <c r="G16" s="40"/>
      <c r="H16" s="40"/>
      <c r="I16" s="40"/>
      <c r="J16" s="40"/>
      <c r="K16" s="40"/>
      <c r="L16" s="40"/>
      <c r="M16" s="40"/>
      <c r="N16" s="40"/>
      <c r="O16" s="40"/>
      <c r="P16" s="40"/>
      <c r="Q16" s="40"/>
      <c r="R16" s="40"/>
    </row>
    <row r="17" spans="1:18" s="72" customFormat="1" ht="14.25" customHeight="1" x14ac:dyDescent="0.3">
      <c r="A17" s="40" t="s">
        <v>112</v>
      </c>
      <c r="B17" s="62">
        <f>VLOOKUP($A$5,tech_param[],6,FALSE)</f>
        <v>8000</v>
      </c>
      <c r="C17" s="40" t="s">
        <v>113</v>
      </c>
      <c r="D17" s="76"/>
      <c r="E17" s="40"/>
      <c r="F17" s="40"/>
      <c r="G17" s="40"/>
      <c r="H17" s="40"/>
      <c r="I17" s="40"/>
      <c r="J17" s="40"/>
      <c r="K17" s="40"/>
      <c r="L17" s="40"/>
      <c r="M17" s="40"/>
      <c r="N17" s="40"/>
      <c r="O17" s="40"/>
      <c r="P17" s="40"/>
      <c r="Q17" s="40"/>
      <c r="R17" s="40"/>
    </row>
    <row r="18" spans="1:18" s="72" customFormat="1" ht="14.25" customHeight="1" x14ac:dyDescent="0.3">
      <c r="A18" s="40" t="s">
        <v>114</v>
      </c>
      <c r="B18" s="77">
        <f>(B13*B17)/1000</f>
        <v>6400</v>
      </c>
      <c r="C18" s="40" t="s">
        <v>115</v>
      </c>
      <c r="D18" s="76"/>
      <c r="E18" s="40"/>
      <c r="F18" s="40"/>
      <c r="G18" s="40"/>
      <c r="H18" s="40"/>
      <c r="I18" s="40"/>
      <c r="J18" s="40"/>
      <c r="K18" s="40"/>
      <c r="L18" s="40"/>
      <c r="M18" s="40"/>
      <c r="N18" s="40"/>
      <c r="O18" s="40"/>
      <c r="P18" s="40"/>
      <c r="Q18" s="40"/>
      <c r="R18" s="40"/>
    </row>
    <row r="19" spans="1:18" s="72" customFormat="1" ht="14.25" customHeight="1" x14ac:dyDescent="0.3">
      <c r="A19" s="40"/>
      <c r="B19" s="74"/>
      <c r="C19" s="40"/>
      <c r="D19" s="76"/>
      <c r="E19" s="40"/>
      <c r="F19" s="40"/>
      <c r="G19" s="40"/>
      <c r="H19" s="40"/>
      <c r="I19" s="40"/>
      <c r="J19" s="40"/>
      <c r="K19" s="40"/>
      <c r="L19" s="40"/>
      <c r="M19" s="40"/>
      <c r="N19" s="40"/>
      <c r="O19" s="40"/>
      <c r="P19" s="40"/>
      <c r="Q19" s="40"/>
      <c r="R19" s="40"/>
    </row>
    <row r="20" spans="1:18" s="109" customFormat="1" ht="14.25" customHeight="1" x14ac:dyDescent="0.3">
      <c r="A20" s="108" t="s">
        <v>116</v>
      </c>
      <c r="B20" s="50" t="s">
        <v>12</v>
      </c>
      <c r="C20" s="108" t="s">
        <v>13</v>
      </c>
      <c r="D20" s="76"/>
      <c r="E20" s="40"/>
      <c r="F20" s="54"/>
      <c r="G20" s="54"/>
      <c r="H20" s="54"/>
      <c r="I20" s="54"/>
      <c r="J20" s="54"/>
      <c r="K20" s="54"/>
      <c r="L20" s="54"/>
      <c r="M20" s="54"/>
      <c r="N20" s="54"/>
      <c r="O20" s="54"/>
      <c r="P20" s="54"/>
      <c r="Q20" s="54"/>
      <c r="R20" s="54"/>
    </row>
    <row r="21" spans="1:18" s="72" customFormat="1" ht="14.25" customHeight="1" x14ac:dyDescent="0.3">
      <c r="A21" s="79" t="s">
        <v>117</v>
      </c>
      <c r="B21" s="42">
        <f>VLOOKUP($A$5,tech_param[],7,FALSE)</f>
        <v>1152</v>
      </c>
      <c r="C21" s="40" t="s">
        <v>118</v>
      </c>
      <c r="D21" s="80"/>
      <c r="E21" s="40"/>
      <c r="F21" s="40"/>
      <c r="G21" s="40"/>
      <c r="H21" s="40"/>
      <c r="I21" s="40"/>
      <c r="J21" s="40"/>
      <c r="K21" s="40"/>
      <c r="L21" s="40"/>
      <c r="M21" s="40"/>
      <c r="N21" s="40"/>
      <c r="O21" s="40"/>
      <c r="P21" s="40"/>
      <c r="Q21" s="40"/>
      <c r="R21" s="40"/>
    </row>
    <row r="22" spans="1:18" s="72" customFormat="1" ht="14.25" customHeight="1" x14ac:dyDescent="0.3">
      <c r="A22" s="40" t="s">
        <v>119</v>
      </c>
      <c r="B22" s="77">
        <f>B21*B15</f>
        <v>3225600</v>
      </c>
      <c r="C22" s="40" t="s">
        <v>120</v>
      </c>
      <c r="D22" s="76"/>
      <c r="E22" s="40"/>
      <c r="F22" s="40"/>
      <c r="G22" s="40"/>
      <c r="H22" s="40"/>
      <c r="I22" s="40"/>
      <c r="J22" s="40"/>
      <c r="K22" s="40"/>
      <c r="L22" s="40"/>
      <c r="M22" s="40"/>
      <c r="N22" s="40"/>
      <c r="O22" s="40"/>
      <c r="P22" s="40"/>
      <c r="Q22" s="40"/>
      <c r="R22" s="40"/>
    </row>
    <row r="23" spans="1:18" s="72" customFormat="1" ht="14.25" customHeight="1" x14ac:dyDescent="0.3">
      <c r="A23" s="79" t="s">
        <v>121</v>
      </c>
      <c r="B23" s="81">
        <f>VLOOKUP($A$5,tech_param[],9,FALSE)*VLOOKUP($A$5,tech_param[],10,FALSE)</f>
        <v>49.728376915919995</v>
      </c>
      <c r="C23" s="40" t="s">
        <v>183</v>
      </c>
      <c r="D23" s="76"/>
      <c r="E23" s="40"/>
      <c r="F23" s="40"/>
      <c r="G23" s="40"/>
      <c r="H23" s="40"/>
      <c r="I23" s="40"/>
      <c r="J23" s="40"/>
      <c r="K23" s="40"/>
      <c r="L23" s="40"/>
      <c r="M23" s="40"/>
      <c r="N23" s="40"/>
      <c r="O23" s="40"/>
      <c r="P23" s="40"/>
      <c r="Q23" s="40"/>
      <c r="R23" s="40"/>
    </row>
    <row r="24" spans="1:18" s="72" customFormat="1" ht="14.25" customHeight="1" x14ac:dyDescent="0.3">
      <c r="A24" s="79" t="s">
        <v>122</v>
      </c>
      <c r="B24" s="77">
        <f>VLOOKUP($A$5,tech_param[],8,FALSE)*B22/100</f>
        <v>129024</v>
      </c>
      <c r="C24" s="40" t="s">
        <v>123</v>
      </c>
      <c r="D24" s="76"/>
      <c r="E24" s="40"/>
      <c r="F24" s="40"/>
      <c r="G24" s="40"/>
      <c r="H24" s="40"/>
      <c r="I24" s="40"/>
      <c r="J24" s="40"/>
      <c r="K24" s="40"/>
      <c r="L24" s="40"/>
      <c r="M24" s="40"/>
      <c r="N24" s="40"/>
      <c r="O24" s="40"/>
      <c r="P24" s="40"/>
      <c r="Q24" s="40"/>
      <c r="R24" s="40"/>
    </row>
    <row r="25" spans="1:18" s="72" customFormat="1" ht="14.25" customHeight="1" x14ac:dyDescent="0.3">
      <c r="A25" s="40" t="s">
        <v>124</v>
      </c>
      <c r="B25" s="77">
        <f>B23*B13+B24</f>
        <v>168806.70153273601</v>
      </c>
      <c r="C25" s="40" t="s">
        <v>123</v>
      </c>
      <c r="D25" s="76"/>
      <c r="E25" s="40"/>
      <c r="F25" s="40"/>
      <c r="G25" s="40"/>
      <c r="H25" s="40"/>
      <c r="I25" s="40"/>
      <c r="J25" s="40"/>
      <c r="K25" s="40"/>
      <c r="L25" s="40"/>
      <c r="M25" s="40"/>
      <c r="N25" s="40"/>
      <c r="O25" s="40"/>
      <c r="P25" s="40"/>
      <c r="Q25" s="40"/>
      <c r="R25" s="40"/>
    </row>
    <row r="26" spans="1:18" s="72" customFormat="1" ht="14.25" customHeight="1" x14ac:dyDescent="0.3">
      <c r="A26" s="79" t="s">
        <v>182</v>
      </c>
      <c r="B26" s="82">
        <f>VLOOKUP($A$5,tech_param[],11,FALSE)</f>
        <v>9.7600000000000006E-2</v>
      </c>
      <c r="C26" s="83" t="s">
        <v>125</v>
      </c>
      <c r="D26" s="76"/>
      <c r="E26" s="40"/>
      <c r="F26" s="40"/>
      <c r="G26" s="40"/>
      <c r="H26" s="40"/>
      <c r="I26" s="40"/>
      <c r="J26" s="40"/>
      <c r="K26" s="40"/>
      <c r="L26" s="40"/>
      <c r="M26" s="40"/>
      <c r="N26" s="40"/>
      <c r="O26" s="40"/>
      <c r="P26" s="40"/>
      <c r="Q26" s="40"/>
      <c r="R26" s="40"/>
    </row>
    <row r="27" spans="1:18" s="72" customFormat="1" ht="14.25" customHeight="1" x14ac:dyDescent="0.3">
      <c r="A27" s="79" t="s">
        <v>126</v>
      </c>
      <c r="B27" s="82">
        <f>VLOOKUP($A$5,tech_param[],12,FALSE)</f>
        <v>7.7158303998599992E-3</v>
      </c>
      <c r="C27" s="40" t="s">
        <v>55</v>
      </c>
      <c r="D27" s="76"/>
      <c r="E27" s="40"/>
      <c r="F27" s="40"/>
      <c r="G27" s="40"/>
      <c r="H27" s="40"/>
      <c r="I27" s="40"/>
      <c r="J27" s="40"/>
      <c r="K27" s="40"/>
      <c r="L27" s="40"/>
      <c r="M27" s="40"/>
      <c r="N27" s="40"/>
      <c r="O27" s="40"/>
      <c r="P27" s="40"/>
      <c r="Q27" s="40"/>
      <c r="R27" s="40"/>
    </row>
    <row r="28" spans="1:18" s="72" customFormat="1" ht="14.25" customHeight="1" x14ac:dyDescent="0.3">
      <c r="A28" s="40" t="s">
        <v>127</v>
      </c>
      <c r="B28" s="84">
        <f>SUM(B26:B27)</f>
        <v>0.10531583039986001</v>
      </c>
      <c r="C28" s="40" t="s">
        <v>55</v>
      </c>
      <c r="D28" s="76"/>
      <c r="E28" s="40"/>
      <c r="F28" s="40"/>
      <c r="G28" s="40"/>
      <c r="H28" s="40"/>
      <c r="I28" s="40"/>
      <c r="J28" s="40"/>
      <c r="K28" s="40"/>
      <c r="L28" s="40"/>
      <c r="M28" s="40"/>
      <c r="N28" s="40"/>
      <c r="O28" s="40"/>
      <c r="P28" s="40"/>
      <c r="Q28" s="40"/>
      <c r="R28" s="40"/>
    </row>
    <row r="29" spans="1:18" s="72" customFormat="1" ht="14.25" customHeight="1" x14ac:dyDescent="0.3">
      <c r="A29" s="40"/>
      <c r="B29" s="74"/>
      <c r="C29" s="40"/>
      <c r="D29" s="43"/>
      <c r="E29" s="43"/>
      <c r="F29" s="43"/>
      <c r="G29" s="43"/>
      <c r="H29" s="43"/>
      <c r="I29" s="43"/>
      <c r="J29" s="43"/>
      <c r="K29" s="43"/>
      <c r="L29" s="43"/>
      <c r="M29" s="43"/>
      <c r="N29" s="43"/>
      <c r="O29" s="43"/>
      <c r="P29" s="43"/>
      <c r="Q29" s="40"/>
      <c r="R29" s="40"/>
    </row>
    <row r="30" spans="1:18" s="72" customFormat="1" ht="14.25" customHeight="1" x14ac:dyDescent="0.3">
      <c r="A30" s="75" t="s">
        <v>128</v>
      </c>
      <c r="B30" s="37" t="s">
        <v>12</v>
      </c>
      <c r="C30" s="75" t="s">
        <v>129</v>
      </c>
      <c r="D30" s="108" t="s">
        <v>14</v>
      </c>
      <c r="E30" s="43"/>
      <c r="F30" s="43"/>
      <c r="G30" s="43"/>
      <c r="H30" s="43"/>
      <c r="I30" s="43"/>
      <c r="J30" s="43"/>
      <c r="K30" s="43"/>
      <c r="L30" s="43"/>
      <c r="M30" s="43"/>
      <c r="N30" s="43"/>
      <c r="O30" s="43"/>
      <c r="P30" s="43"/>
      <c r="Q30" s="40"/>
      <c r="R30" s="40"/>
    </row>
    <row r="31" spans="1:18" s="72" customFormat="1" ht="14.25" customHeight="1" x14ac:dyDescent="0.3">
      <c r="A31" s="40" t="s">
        <v>130</v>
      </c>
      <c r="B31" s="85">
        <f>'Algemene parameters'!B13</f>
        <v>0.20239199999999999</v>
      </c>
      <c r="C31" s="40" t="s">
        <v>131</v>
      </c>
      <c r="D31" s="43" t="s">
        <v>132</v>
      </c>
      <c r="E31" s="43"/>
      <c r="F31" s="43"/>
      <c r="G31" s="43"/>
      <c r="H31" s="43"/>
      <c r="I31" s="43"/>
      <c r="J31" s="43"/>
      <c r="K31" s="43"/>
      <c r="L31" s="43"/>
      <c r="M31" s="43"/>
      <c r="N31" s="43"/>
      <c r="O31" s="43"/>
      <c r="P31" s="43"/>
      <c r="Q31" s="40"/>
      <c r="R31" s="40"/>
    </row>
    <row r="32" spans="1:18" s="72" customFormat="1" ht="14.25" customHeight="1" x14ac:dyDescent="0.3">
      <c r="A32" s="40" t="s">
        <v>133</v>
      </c>
      <c r="B32" s="86">
        <f>'Algemene parameters'!B15</f>
        <v>0.22487999999999997</v>
      </c>
      <c r="C32" s="40" t="s">
        <v>134</v>
      </c>
      <c r="D32" s="43" t="s">
        <v>135</v>
      </c>
      <c r="E32" s="43"/>
      <c r="F32" s="43"/>
      <c r="G32" s="43"/>
      <c r="H32" s="43"/>
      <c r="I32" s="43"/>
      <c r="J32" s="43"/>
      <c r="K32" s="43"/>
      <c r="L32" s="43"/>
      <c r="M32" s="43"/>
      <c r="N32" s="43"/>
      <c r="O32" s="43"/>
      <c r="P32" s="43"/>
      <c r="Q32" s="40"/>
      <c r="R32" s="40"/>
    </row>
    <row r="33" spans="1:18" s="72" customFormat="1" ht="14.25" customHeight="1" x14ac:dyDescent="0.3">
      <c r="A33" s="40" t="s">
        <v>136</v>
      </c>
      <c r="B33" s="85">
        <f>VLOOKUP($A$5,tech_param[],13,FALSE)</f>
        <v>0.15</v>
      </c>
      <c r="C33" s="40" t="s">
        <v>137</v>
      </c>
      <c r="D33" s="43"/>
      <c r="E33" s="43"/>
      <c r="F33" s="43"/>
      <c r="G33" s="43"/>
      <c r="H33" s="43"/>
      <c r="I33" s="43"/>
      <c r="J33" s="43"/>
      <c r="K33" s="43"/>
      <c r="L33" s="43"/>
      <c r="M33" s="43"/>
      <c r="N33" s="43"/>
      <c r="O33" s="43"/>
      <c r="P33" s="43"/>
      <c r="Q33" s="40"/>
      <c r="R33" s="40"/>
    </row>
    <row r="34" spans="1:18" s="72" customFormat="1" ht="14.25" customHeight="1" x14ac:dyDescent="0.3">
      <c r="A34" s="40" t="s">
        <v>138</v>
      </c>
      <c r="B34" s="86">
        <f>B32-(B33*B13/B15)</f>
        <v>0.1820228571428571</v>
      </c>
      <c r="C34" s="40" t="s">
        <v>134</v>
      </c>
      <c r="D34" s="43" t="s">
        <v>139</v>
      </c>
      <c r="E34" s="43"/>
      <c r="F34" s="43"/>
      <c r="G34" s="43"/>
      <c r="H34" s="43"/>
      <c r="I34" s="43"/>
      <c r="J34" s="43"/>
      <c r="K34" s="43"/>
      <c r="L34" s="43"/>
      <c r="M34" s="43"/>
      <c r="N34" s="43"/>
      <c r="O34" s="43"/>
      <c r="P34" s="43"/>
      <c r="Q34" s="40"/>
      <c r="R34" s="40"/>
    </row>
    <row r="35" spans="1:18" s="72" customFormat="1" ht="14.25" customHeight="1" x14ac:dyDescent="0.3">
      <c r="A35" s="40"/>
      <c r="B35" s="74"/>
      <c r="C35" s="40"/>
      <c r="D35" s="43"/>
      <c r="E35" s="43"/>
      <c r="F35" s="43"/>
      <c r="G35" s="43"/>
      <c r="H35" s="43"/>
      <c r="I35" s="43"/>
      <c r="J35" s="43"/>
      <c r="K35" s="43"/>
      <c r="L35" s="43"/>
      <c r="M35" s="43"/>
      <c r="N35" s="43"/>
      <c r="O35" s="43"/>
      <c r="P35" s="43"/>
      <c r="Q35" s="40"/>
      <c r="R35" s="40"/>
    </row>
    <row r="36" spans="1:18" s="109" customFormat="1" ht="14.25" customHeight="1" x14ac:dyDescent="0.3">
      <c r="A36" s="108" t="s">
        <v>28</v>
      </c>
      <c r="B36" s="50" t="s">
        <v>12</v>
      </c>
      <c r="C36" s="108" t="s">
        <v>13</v>
      </c>
      <c r="D36" s="43"/>
      <c r="E36" s="43"/>
      <c r="F36" s="43"/>
      <c r="G36" s="43"/>
      <c r="H36" s="43"/>
      <c r="I36" s="43"/>
      <c r="J36" s="43"/>
      <c r="K36" s="43"/>
      <c r="L36" s="43"/>
      <c r="M36" s="43"/>
      <c r="N36" s="43"/>
      <c r="O36" s="43"/>
      <c r="P36" s="43"/>
      <c r="Q36" s="54"/>
      <c r="R36" s="54"/>
    </row>
    <row r="37" spans="1:18" s="72" customFormat="1" ht="14.25" customHeight="1" x14ac:dyDescent="0.3">
      <c r="A37" s="40" t="s">
        <v>76</v>
      </c>
      <c r="B37" s="88">
        <f>VLOOKUP($A$5,tech_param[],14,FALSE)</f>
        <v>10</v>
      </c>
      <c r="C37" s="40" t="s">
        <v>30</v>
      </c>
      <c r="D37" s="43"/>
      <c r="E37" s="43"/>
      <c r="F37" s="43"/>
      <c r="G37" s="43"/>
      <c r="H37" s="43"/>
      <c r="I37" s="43"/>
      <c r="J37" s="43"/>
      <c r="K37" s="43"/>
      <c r="L37" s="43"/>
      <c r="M37" s="43"/>
      <c r="N37" s="43"/>
      <c r="O37" s="43"/>
      <c r="P37" s="43"/>
      <c r="Q37" s="40"/>
      <c r="R37" s="40"/>
    </row>
    <row r="38" spans="1:18" s="72" customFormat="1" ht="14.25" customHeight="1" x14ac:dyDescent="0.3">
      <c r="A38" s="40" t="s">
        <v>29</v>
      </c>
      <c r="B38" s="62">
        <f>'Algemene parameters'!B23</f>
        <v>10</v>
      </c>
      <c r="C38" s="40" t="s">
        <v>30</v>
      </c>
      <c r="D38" s="43"/>
      <c r="E38" s="43"/>
      <c r="F38" s="43"/>
      <c r="G38" s="43"/>
      <c r="H38" s="43"/>
      <c r="I38" s="43"/>
      <c r="J38" s="43"/>
      <c r="K38" s="43"/>
      <c r="L38" s="43"/>
      <c r="M38" s="43"/>
      <c r="N38" s="43"/>
      <c r="O38" s="43"/>
      <c r="P38" s="43"/>
      <c r="Q38" s="40"/>
      <c r="R38" s="40"/>
    </row>
    <row r="39" spans="1:18" s="72" customFormat="1" ht="14.25" customHeight="1" x14ac:dyDescent="0.3">
      <c r="A39" s="40" t="s">
        <v>31</v>
      </c>
      <c r="B39" s="90">
        <f>'Algemene parameters'!B24</f>
        <v>0.02</v>
      </c>
      <c r="C39" s="40"/>
      <c r="D39" s="43"/>
      <c r="E39" s="43"/>
      <c r="F39" s="43"/>
      <c r="G39" s="43"/>
      <c r="H39" s="43"/>
      <c r="I39" s="43"/>
      <c r="J39" s="43"/>
      <c r="K39" s="43"/>
      <c r="L39" s="43"/>
      <c r="M39" s="43"/>
      <c r="N39" s="43"/>
      <c r="O39" s="43"/>
      <c r="P39" s="43"/>
      <c r="Q39" s="40"/>
      <c r="R39" s="40"/>
    </row>
    <row r="40" spans="1:18" s="72" customFormat="1" ht="14.25" customHeight="1" x14ac:dyDescent="0.3">
      <c r="A40" s="79" t="s">
        <v>140</v>
      </c>
      <c r="B40" s="90">
        <f>'Algemene parameters'!B25</f>
        <v>5.7500000000000002E-2</v>
      </c>
      <c r="C40" s="40"/>
      <c r="D40" s="40"/>
      <c r="E40" s="40"/>
      <c r="F40" s="40"/>
      <c r="G40" s="40"/>
      <c r="H40" s="40"/>
      <c r="I40" s="40"/>
      <c r="J40" s="40"/>
      <c r="K40" s="40"/>
      <c r="L40" s="40"/>
      <c r="M40" s="40"/>
      <c r="N40" s="40"/>
      <c r="O40" s="40"/>
      <c r="P40" s="40"/>
      <c r="Q40" s="40"/>
      <c r="R40" s="40"/>
    </row>
    <row r="41" spans="1:18" s="72" customFormat="1" ht="14.25" customHeight="1" x14ac:dyDescent="0.3">
      <c r="A41" s="79" t="s">
        <v>141</v>
      </c>
      <c r="B41" s="45">
        <f>'Algemene parameters'!B26</f>
        <v>0.12</v>
      </c>
      <c r="C41" s="40"/>
      <c r="D41" s="40"/>
      <c r="E41" s="40"/>
      <c r="F41" s="40"/>
      <c r="G41" s="40"/>
      <c r="H41" s="40"/>
      <c r="I41" s="40"/>
      <c r="J41" s="40"/>
      <c r="K41" s="40"/>
      <c r="L41" s="40"/>
      <c r="M41" s="40"/>
      <c r="N41" s="40"/>
      <c r="O41" s="40"/>
      <c r="P41" s="40"/>
      <c r="Q41" s="40"/>
      <c r="R41" s="40"/>
    </row>
    <row r="42" spans="1:18" s="72" customFormat="1" ht="14.25" customHeight="1" x14ac:dyDescent="0.3">
      <c r="A42" s="79" t="s">
        <v>142</v>
      </c>
      <c r="B42" s="45">
        <f>'Algemene parameters'!B27</f>
        <v>0.58200000000000007</v>
      </c>
      <c r="C42" s="40"/>
      <c r="D42" s="40"/>
      <c r="E42" s="40"/>
      <c r="F42" s="40"/>
      <c r="G42" s="40"/>
      <c r="H42" s="40"/>
      <c r="I42" s="40"/>
      <c r="J42" s="40"/>
      <c r="K42" s="40"/>
      <c r="L42" s="40"/>
      <c r="M42" s="40"/>
      <c r="N42" s="40"/>
      <c r="O42" s="40"/>
      <c r="P42" s="40"/>
      <c r="Q42" s="40"/>
      <c r="R42" s="40"/>
    </row>
    <row r="43" spans="1:18" s="72" customFormat="1" ht="14.25" customHeight="1" x14ac:dyDescent="0.3">
      <c r="A43" s="79" t="s">
        <v>143</v>
      </c>
      <c r="B43" s="45">
        <f>'Algemene parameters'!B28</f>
        <v>0.41799999999999998</v>
      </c>
      <c r="C43" s="40"/>
      <c r="D43" s="40"/>
      <c r="E43" s="40"/>
      <c r="F43" s="40"/>
      <c r="G43" s="40"/>
      <c r="H43" s="40"/>
      <c r="I43" s="40"/>
      <c r="J43" s="40"/>
      <c r="K43" s="40"/>
      <c r="L43" s="40"/>
      <c r="M43" s="40"/>
      <c r="N43" s="40"/>
      <c r="O43" s="40"/>
      <c r="P43" s="40"/>
      <c r="Q43" s="40"/>
      <c r="R43" s="40"/>
    </row>
    <row r="44" spans="1:18" s="72" customFormat="1" ht="14.25" customHeight="1" x14ac:dyDescent="0.3">
      <c r="A44" s="40" t="s">
        <v>41</v>
      </c>
      <c r="B44" s="45">
        <f>'Algemene parameters'!B29</f>
        <v>0.25</v>
      </c>
      <c r="C44" s="40"/>
      <c r="D44" s="40"/>
      <c r="E44" s="40"/>
      <c r="F44" s="40"/>
      <c r="G44" s="40"/>
      <c r="H44" s="40"/>
      <c r="I44" s="40"/>
      <c r="J44" s="40"/>
      <c r="K44" s="40"/>
      <c r="L44" s="40"/>
      <c r="M44" s="40"/>
      <c r="N44" s="40"/>
      <c r="O44" s="40"/>
      <c r="P44" s="40"/>
      <c r="Q44" s="40"/>
      <c r="R44" s="40"/>
    </row>
    <row r="45" spans="1:18" s="72" customFormat="1" ht="14.25" customHeight="1" x14ac:dyDescent="0.3">
      <c r="A45" s="115" t="s">
        <v>42</v>
      </c>
      <c r="B45" s="111">
        <f>'Algemene parameters'!B30</f>
        <v>7.5258749999999999E-2</v>
      </c>
      <c r="C45" s="40"/>
      <c r="D45" s="40"/>
      <c r="E45" s="40"/>
      <c r="F45" s="40"/>
      <c r="G45" s="40"/>
      <c r="H45" s="40"/>
      <c r="I45" s="40"/>
      <c r="J45" s="40"/>
      <c r="K45" s="40"/>
      <c r="L45" s="40"/>
      <c r="M45" s="40"/>
      <c r="N45" s="40"/>
      <c r="O45" s="40"/>
      <c r="P45" s="40"/>
      <c r="Q45" s="40"/>
      <c r="R45" s="40"/>
    </row>
    <row r="46" spans="1:18" s="72" customFormat="1" ht="14.25" customHeight="1" x14ac:dyDescent="0.3">
      <c r="A46" s="40"/>
      <c r="B46" s="40"/>
      <c r="C46" s="40"/>
      <c r="D46" s="91"/>
      <c r="E46" s="91"/>
      <c r="F46" s="91"/>
      <c r="G46" s="91"/>
      <c r="H46" s="91"/>
      <c r="I46" s="91"/>
      <c r="J46" s="91"/>
      <c r="K46" s="91"/>
      <c r="L46" s="91"/>
      <c r="M46" s="91"/>
      <c r="N46" s="40"/>
      <c r="O46" s="40"/>
      <c r="P46" s="40"/>
      <c r="Q46" s="40"/>
      <c r="R46" s="40"/>
    </row>
    <row r="47" spans="1:18" s="109" customFormat="1" ht="14.25" customHeight="1" x14ac:dyDescent="0.3">
      <c r="A47" s="108" t="s">
        <v>144</v>
      </c>
      <c r="B47" s="50" t="s">
        <v>12</v>
      </c>
      <c r="C47" s="108" t="s">
        <v>13</v>
      </c>
      <c r="D47" s="108" t="s">
        <v>14</v>
      </c>
      <c r="E47" s="54"/>
      <c r="F47" s="54"/>
      <c r="G47" s="54"/>
      <c r="H47" s="54"/>
      <c r="I47" s="54"/>
      <c r="J47" s="110"/>
      <c r="K47" s="54"/>
      <c r="L47" s="54"/>
      <c r="M47" s="54"/>
      <c r="N47" s="54"/>
      <c r="O47" s="54"/>
      <c r="P47" s="54"/>
      <c r="Q47" s="54"/>
      <c r="R47" s="54"/>
    </row>
    <row r="48" spans="1:18" s="72" customFormat="1" ht="14.25" customHeight="1" x14ac:dyDescent="0.3">
      <c r="A48" s="79" t="s">
        <v>145</v>
      </c>
      <c r="B48" s="92">
        <f>'Algemene parameters'!B42/'Algemene parameters'!B14/B34*1000</f>
        <v>219.91760220784235</v>
      </c>
      <c r="C48" s="40" t="s">
        <v>91</v>
      </c>
      <c r="D48" s="43" t="s">
        <v>146</v>
      </c>
      <c r="E48" s="43"/>
      <c r="F48" s="43"/>
      <c r="G48" s="43"/>
      <c r="H48" s="43"/>
      <c r="I48" s="43"/>
      <c r="J48" s="87"/>
      <c r="K48" s="40"/>
      <c r="L48" s="40"/>
      <c r="M48" s="40"/>
      <c r="N48" s="40"/>
      <c r="O48" s="40"/>
      <c r="P48" s="40"/>
      <c r="Q48" s="40"/>
      <c r="R48" s="40"/>
    </row>
    <row r="49" spans="1:18" s="72" customFormat="1" ht="14.25" customHeight="1" x14ac:dyDescent="0.3">
      <c r="A49" s="79" t="s">
        <v>147</v>
      </c>
      <c r="B49" s="92">
        <f>(('Algemene parameters'!B44/1000*B32))/B34*1000</f>
        <v>174.81606705594274</v>
      </c>
      <c r="C49" s="40" t="s">
        <v>91</v>
      </c>
      <c r="D49" s="43" t="s">
        <v>148</v>
      </c>
      <c r="E49" s="43"/>
      <c r="F49" s="43"/>
      <c r="G49" s="43"/>
      <c r="H49" s="43"/>
      <c r="I49" s="43"/>
      <c r="J49" s="87"/>
      <c r="K49" s="40"/>
      <c r="L49" s="40"/>
      <c r="M49" s="40"/>
      <c r="N49" s="40"/>
      <c r="O49" s="40"/>
      <c r="P49" s="40"/>
      <c r="Q49" s="40"/>
      <c r="R49" s="40"/>
    </row>
    <row r="50" spans="1:18" s="72" customFormat="1" ht="14.25" customHeight="1" x14ac:dyDescent="0.3">
      <c r="A50" s="79" t="s">
        <v>149</v>
      </c>
      <c r="B50" s="92">
        <f>(('Algemene parameters'!B45/1000*B32))/B34*1000</f>
        <v>73.756319457524981</v>
      </c>
      <c r="C50" s="40" t="s">
        <v>91</v>
      </c>
      <c r="D50" s="43" t="s">
        <v>150</v>
      </c>
      <c r="E50" s="43"/>
      <c r="F50" s="43"/>
      <c r="G50" s="43"/>
      <c r="H50" s="43"/>
      <c r="I50" s="43"/>
      <c r="J50" s="87"/>
      <c r="K50" s="40"/>
      <c r="L50" s="40"/>
      <c r="M50" s="40"/>
      <c r="N50" s="40"/>
      <c r="O50" s="40"/>
      <c r="P50" s="40"/>
      <c r="Q50" s="40"/>
      <c r="R50" s="40"/>
    </row>
    <row r="51" spans="1:18" s="72" customFormat="1" ht="14.25" customHeight="1" x14ac:dyDescent="0.3">
      <c r="A51" s="40" t="s">
        <v>151</v>
      </c>
      <c r="B51" s="92">
        <f>SUM(B48:B49)</f>
        <v>394.73366926378509</v>
      </c>
      <c r="C51" s="40" t="s">
        <v>91</v>
      </c>
      <c r="D51" s="43"/>
      <c r="E51" s="43"/>
      <c r="F51" s="43"/>
      <c r="G51" s="43"/>
      <c r="H51" s="43"/>
      <c r="I51" s="43"/>
      <c r="J51" s="89"/>
      <c r="K51" s="40"/>
      <c r="L51" s="40"/>
      <c r="M51" s="40"/>
      <c r="N51" s="40"/>
      <c r="O51" s="40"/>
      <c r="P51" s="40"/>
      <c r="Q51" s="40"/>
      <c r="R51" s="40"/>
    </row>
    <row r="52" spans="1:18" s="72" customFormat="1" ht="14.25" customHeight="1" x14ac:dyDescent="0.3">
      <c r="A52" s="40" t="s">
        <v>152</v>
      </c>
      <c r="B52" s="92">
        <f>B48+B50</f>
        <v>293.67392166536735</v>
      </c>
      <c r="C52" s="40" t="s">
        <v>91</v>
      </c>
      <c r="D52" s="43"/>
      <c r="E52" s="43"/>
      <c r="F52" s="43"/>
      <c r="G52" s="43"/>
      <c r="H52" s="43"/>
      <c r="I52" s="43"/>
      <c r="J52" s="89"/>
      <c r="K52" s="40"/>
      <c r="L52" s="40"/>
      <c r="M52" s="40"/>
      <c r="N52" s="40"/>
      <c r="O52" s="40"/>
      <c r="P52" s="40"/>
      <c r="Q52" s="40"/>
      <c r="R52" s="40"/>
    </row>
    <row r="53" spans="1:18" s="72" customFormat="1" ht="14.25" customHeight="1" x14ac:dyDescent="0.3">
      <c r="A53" s="40"/>
      <c r="B53" s="74"/>
      <c r="C53" s="40"/>
      <c r="D53" s="43"/>
      <c r="E53" s="43"/>
      <c r="F53" s="43"/>
      <c r="G53" s="43"/>
      <c r="H53" s="43"/>
      <c r="I53" s="43"/>
      <c r="J53" s="89"/>
      <c r="K53" s="40"/>
      <c r="L53" s="40"/>
      <c r="M53" s="40"/>
      <c r="N53" s="40"/>
      <c r="O53" s="40"/>
      <c r="P53" s="40"/>
      <c r="Q53" s="40"/>
      <c r="R53" s="40"/>
    </row>
    <row r="54" spans="1:18" s="109" customFormat="1" ht="14.25" customHeight="1" x14ac:dyDescent="0.3">
      <c r="A54" s="108" t="s">
        <v>153</v>
      </c>
      <c r="B54" s="50" t="s">
        <v>12</v>
      </c>
      <c r="C54" s="108" t="s">
        <v>13</v>
      </c>
      <c r="D54" s="108" t="s">
        <v>14</v>
      </c>
      <c r="E54" s="43"/>
      <c r="F54" s="43"/>
      <c r="G54" s="43"/>
      <c r="H54" s="43"/>
      <c r="I54" s="43"/>
      <c r="J54" s="110"/>
      <c r="K54" s="54"/>
      <c r="L54" s="54"/>
      <c r="M54" s="54"/>
      <c r="N54" s="54"/>
      <c r="O54" s="54"/>
      <c r="P54" s="54"/>
      <c r="Q54" s="54"/>
      <c r="R54" s="54"/>
    </row>
    <row r="55" spans="1:18" s="72" customFormat="1" ht="14.25" customHeight="1" x14ac:dyDescent="0.3">
      <c r="A55" s="79" t="s">
        <v>154</v>
      </c>
      <c r="B55" s="92">
        <f>B59/$B$34*1000</f>
        <v>146.61173480522822</v>
      </c>
      <c r="C55" s="40" t="s">
        <v>91</v>
      </c>
      <c r="D55" s="151" t="s">
        <v>155</v>
      </c>
      <c r="E55" s="151"/>
      <c r="F55" s="151"/>
      <c r="G55" s="151"/>
      <c r="H55" s="151"/>
      <c r="I55" s="151"/>
      <c r="J55" s="152"/>
      <c r="K55" s="40"/>
      <c r="L55" s="40"/>
      <c r="M55" s="40"/>
      <c r="N55" s="40"/>
      <c r="O55" s="40"/>
      <c r="P55" s="40"/>
      <c r="Q55" s="40"/>
      <c r="R55" s="40"/>
    </row>
    <row r="56" spans="1:18" s="72" customFormat="1" ht="14.25" customHeight="1" x14ac:dyDescent="0.3">
      <c r="A56" s="79" t="s">
        <v>156</v>
      </c>
      <c r="B56" s="92">
        <f t="shared" ref="B56:B57" si="0">B60/$B$34*1000</f>
        <v>116.54404470396184</v>
      </c>
      <c r="C56" s="40" t="s">
        <v>91</v>
      </c>
      <c r="D56" s="151" t="s">
        <v>155</v>
      </c>
      <c r="E56" s="151"/>
      <c r="F56" s="151"/>
      <c r="G56" s="151"/>
      <c r="H56" s="151"/>
      <c r="I56" s="151"/>
      <c r="J56" s="152"/>
      <c r="K56" s="40"/>
      <c r="L56" s="40"/>
      <c r="M56" s="40"/>
      <c r="N56" s="40"/>
      <c r="O56" s="40"/>
      <c r="P56" s="40"/>
      <c r="Q56" s="40"/>
      <c r="R56" s="40"/>
    </row>
    <row r="57" spans="1:18" s="72" customFormat="1" ht="14.25" customHeight="1" x14ac:dyDescent="0.3">
      <c r="A57" s="79" t="s">
        <v>157</v>
      </c>
      <c r="B57" s="92">
        <f t="shared" si="0"/>
        <v>49.170879638349973</v>
      </c>
      <c r="C57" s="40" t="s">
        <v>91</v>
      </c>
      <c r="D57" s="151" t="s">
        <v>155</v>
      </c>
      <c r="E57" s="151"/>
      <c r="F57" s="151"/>
      <c r="G57" s="151"/>
      <c r="H57" s="151"/>
      <c r="I57" s="151"/>
      <c r="J57" s="152"/>
      <c r="K57" s="40"/>
      <c r="L57" s="40"/>
      <c r="M57" s="40"/>
      <c r="N57" s="40"/>
      <c r="O57" s="40"/>
      <c r="P57" s="40"/>
      <c r="Q57" s="40"/>
      <c r="R57" s="40"/>
    </row>
    <row r="58" spans="1:18" s="72" customFormat="1" ht="14.25" customHeight="1" x14ac:dyDescent="0.3">
      <c r="A58" s="79"/>
      <c r="B58" s="92"/>
      <c r="C58" s="40"/>
      <c r="D58" s="43"/>
      <c r="E58" s="43"/>
      <c r="F58" s="43"/>
      <c r="G58" s="43"/>
      <c r="H58" s="43"/>
      <c r="I58" s="43"/>
      <c r="J58" s="87"/>
      <c r="K58" s="40"/>
      <c r="L58" s="40"/>
      <c r="M58" s="40"/>
      <c r="N58" s="40"/>
      <c r="O58" s="40"/>
      <c r="P58" s="40"/>
      <c r="Q58" s="40"/>
      <c r="R58" s="40"/>
    </row>
    <row r="59" spans="1:18" s="72" customFormat="1" ht="14.25" customHeight="1" x14ac:dyDescent="0.3">
      <c r="A59" s="79" t="s">
        <v>154</v>
      </c>
      <c r="B59" s="93">
        <f>2/3*'Algemene parameters'!B42/'Algemene parameters'!B14</f>
        <v>2.6686686859918506E-2</v>
      </c>
      <c r="C59" s="40" t="s">
        <v>92</v>
      </c>
      <c r="D59" s="43"/>
      <c r="E59" s="43"/>
      <c r="F59" s="43"/>
      <c r="G59" s="43"/>
      <c r="H59" s="43"/>
      <c r="I59" s="43"/>
      <c r="J59" s="87"/>
      <c r="K59" s="40"/>
      <c r="L59" s="40"/>
      <c r="M59" s="40"/>
      <c r="N59" s="40"/>
      <c r="O59" s="40"/>
      <c r="P59" s="40"/>
      <c r="Q59" s="40"/>
      <c r="R59" s="40"/>
    </row>
    <row r="60" spans="1:18" s="72" customFormat="1" ht="14.25" customHeight="1" x14ac:dyDescent="0.3">
      <c r="A60" s="79" t="s">
        <v>156</v>
      </c>
      <c r="B60" s="93">
        <f>2/3*'Algemene parameters'!B44*'Algemene parameters'!B13/'Algemene parameters'!B14/1000</f>
        <v>2.1213679999999999E-2</v>
      </c>
      <c r="C60" s="40" t="s">
        <v>92</v>
      </c>
      <c r="D60" s="43"/>
      <c r="E60" s="43"/>
      <c r="F60" s="43"/>
      <c r="G60" s="43"/>
      <c r="H60" s="43"/>
      <c r="I60" s="43"/>
      <c r="J60" s="87"/>
      <c r="K60" s="40"/>
      <c r="L60" s="40"/>
      <c r="M60" s="40"/>
      <c r="N60" s="40"/>
      <c r="O60" s="40"/>
      <c r="P60" s="40"/>
      <c r="Q60" s="40"/>
      <c r="R60" s="40"/>
    </row>
    <row r="61" spans="1:18" s="72" customFormat="1" ht="14.25" customHeight="1" x14ac:dyDescent="0.3">
      <c r="A61" s="79" t="s">
        <v>157</v>
      </c>
      <c r="B61" s="93">
        <f>2/3*'Algemene parameters'!B45*'Algemene parameters'!B13/'Algemene parameters'!B14/1000</f>
        <v>8.9502239999999979E-3</v>
      </c>
      <c r="C61" s="40" t="s">
        <v>92</v>
      </c>
      <c r="D61" s="43"/>
      <c r="E61" s="43"/>
      <c r="F61" s="43"/>
      <c r="G61" s="43"/>
      <c r="H61" s="43"/>
      <c r="I61" s="43"/>
      <c r="J61" s="87"/>
      <c r="K61" s="40"/>
      <c r="L61" s="40"/>
      <c r="M61" s="40"/>
      <c r="N61" s="40"/>
      <c r="O61" s="40"/>
      <c r="P61" s="40"/>
      <c r="Q61" s="40"/>
      <c r="R61" s="40"/>
    </row>
    <row r="62" spans="1:18" s="72" customFormat="1" ht="14.25" customHeight="1" x14ac:dyDescent="0.3">
      <c r="A62" s="79"/>
      <c r="B62" s="92"/>
      <c r="C62" s="40"/>
      <c r="D62" s="94"/>
      <c r="I62" s="40"/>
      <c r="J62" s="87"/>
      <c r="K62" s="40"/>
      <c r="L62" s="40"/>
      <c r="M62" s="40"/>
      <c r="N62" s="40"/>
      <c r="O62" s="40"/>
      <c r="P62" s="40"/>
      <c r="Q62" s="40"/>
      <c r="R62" s="40"/>
    </row>
    <row r="63" spans="1:18" s="72" customFormat="1" ht="14.25" customHeight="1" x14ac:dyDescent="0.3">
      <c r="A63" s="95" t="s">
        <v>158</v>
      </c>
      <c r="B63" s="97">
        <f>B59+B60</f>
        <v>4.7900366859918504E-2</v>
      </c>
      <c r="C63" s="40" t="s">
        <v>92</v>
      </c>
      <c r="D63" s="76"/>
      <c r="E63" s="40"/>
      <c r="F63" s="40"/>
      <c r="G63" s="40"/>
      <c r="H63" s="40"/>
      <c r="I63" s="40"/>
      <c r="J63" s="89"/>
      <c r="K63" s="40"/>
      <c r="L63" s="40"/>
      <c r="M63" s="40"/>
      <c r="N63" s="40"/>
      <c r="O63" s="40"/>
      <c r="P63" s="40"/>
      <c r="Q63" s="40"/>
      <c r="R63" s="40"/>
    </row>
    <row r="64" spans="1:18" s="72" customFormat="1" ht="14.25" customHeight="1" x14ac:dyDescent="0.3">
      <c r="A64" s="95" t="s">
        <v>159</v>
      </c>
      <c r="B64" s="97">
        <f>B59+B61</f>
        <v>3.5636910859918505E-2</v>
      </c>
      <c r="C64" s="40" t="s">
        <v>92</v>
      </c>
      <c r="D64" s="76"/>
      <c r="E64" s="40"/>
      <c r="F64" s="40"/>
      <c r="G64" s="40"/>
      <c r="H64" s="40"/>
      <c r="I64" s="40"/>
      <c r="J64" s="89"/>
      <c r="K64" s="40"/>
      <c r="L64" s="40"/>
      <c r="M64" s="40"/>
      <c r="N64" s="40"/>
      <c r="O64" s="40"/>
      <c r="P64" s="40"/>
      <c r="Q64" s="40"/>
      <c r="R64" s="40"/>
    </row>
    <row r="65" spans="1:18" s="72" customFormat="1" ht="14.25" customHeight="1" x14ac:dyDescent="0.3">
      <c r="A65" s="95" t="s">
        <v>160</v>
      </c>
      <c r="B65" s="97">
        <f>B59</f>
        <v>2.6686686859918506E-2</v>
      </c>
      <c r="C65" s="40" t="s">
        <v>92</v>
      </c>
      <c r="D65" s="76"/>
      <c r="E65" s="40"/>
      <c r="F65" s="40"/>
      <c r="G65" s="40"/>
      <c r="H65" s="40"/>
      <c r="I65" s="40"/>
      <c r="J65" s="89"/>
      <c r="K65" s="40"/>
      <c r="L65" s="40"/>
      <c r="M65" s="40"/>
      <c r="N65" s="40"/>
      <c r="O65" s="40"/>
      <c r="P65" s="40"/>
      <c r="Q65" s="40"/>
      <c r="R65" s="40"/>
    </row>
    <row r="66" spans="1:18" s="142" customFormat="1" x14ac:dyDescent="0.2">
      <c r="A66" s="140"/>
      <c r="B66" s="141"/>
      <c r="C66" s="15"/>
      <c r="D66" s="140"/>
      <c r="E66" s="140"/>
      <c r="F66" s="140"/>
      <c r="G66" s="140"/>
      <c r="H66" s="140"/>
      <c r="I66" s="140"/>
      <c r="J66" s="140"/>
      <c r="K66" s="140"/>
      <c r="L66" s="140"/>
      <c r="M66" s="140"/>
      <c r="N66" s="140"/>
      <c r="O66" s="140"/>
      <c r="P66" s="140"/>
      <c r="Q66" s="140"/>
      <c r="R66" s="140"/>
    </row>
    <row r="67" spans="1:18" s="72" customFormat="1" ht="14.25" customHeight="1" x14ac:dyDescent="0.3">
      <c r="A67" s="95"/>
      <c r="B67" s="92"/>
      <c r="C67" s="40"/>
      <c r="D67" s="76"/>
      <c r="E67" s="40"/>
      <c r="F67" s="40"/>
      <c r="G67" s="40"/>
      <c r="H67" s="40"/>
      <c r="I67" s="40"/>
      <c r="J67" s="89"/>
      <c r="K67" s="40"/>
      <c r="L67" s="40"/>
      <c r="M67" s="40"/>
      <c r="N67" s="40"/>
      <c r="O67" s="40"/>
      <c r="P67" s="40"/>
      <c r="Q67" s="40"/>
      <c r="R67" s="40"/>
    </row>
    <row r="68" spans="1:18" s="72" customFormat="1" ht="14.25" customHeight="1" x14ac:dyDescent="0.3">
      <c r="A68" s="95"/>
      <c r="B68" s="92"/>
      <c r="C68" s="40"/>
      <c r="D68" s="76"/>
      <c r="E68" s="40"/>
      <c r="F68" s="40"/>
      <c r="G68" s="40"/>
      <c r="H68" s="40"/>
      <c r="I68" s="40"/>
      <c r="J68" s="89"/>
      <c r="K68" s="40"/>
      <c r="L68" s="40"/>
      <c r="M68" s="40"/>
      <c r="N68" s="40"/>
      <c r="O68" s="40"/>
      <c r="P68" s="40"/>
      <c r="Q68" s="40"/>
      <c r="R68" s="40"/>
    </row>
    <row r="69" spans="1:18" s="72" customFormat="1" ht="14.25" customHeight="1" x14ac:dyDescent="0.3">
      <c r="A69" s="40"/>
      <c r="B69" s="74"/>
      <c r="C69" s="40"/>
      <c r="D69" s="40"/>
      <c r="E69" s="40"/>
      <c r="F69" s="40"/>
      <c r="G69" s="40"/>
      <c r="H69" s="40"/>
      <c r="I69" s="40"/>
      <c r="J69" s="89"/>
      <c r="K69" s="40"/>
      <c r="L69" s="40"/>
      <c r="M69" s="40"/>
      <c r="N69" s="40"/>
      <c r="O69" s="40"/>
      <c r="P69" s="40"/>
      <c r="Q69" s="40"/>
      <c r="R69" s="40"/>
    </row>
    <row r="70" spans="1:18" s="48" customFormat="1" ht="14.25" customHeight="1" x14ac:dyDescent="0.3">
      <c r="A70" s="46" t="s">
        <v>161</v>
      </c>
      <c r="B70" s="46"/>
      <c r="C70" s="46"/>
      <c r="D70" s="46"/>
      <c r="E70" s="46"/>
      <c r="F70" s="46"/>
      <c r="G70" s="46"/>
      <c r="H70" s="46"/>
      <c r="I70" s="46"/>
      <c r="J70" s="46"/>
      <c r="K70" s="46"/>
    </row>
    <row r="71" spans="1:18" s="95" customFormat="1" ht="14.25" customHeight="1" x14ac:dyDescent="0.3">
      <c r="A71" s="166" t="s">
        <v>1</v>
      </c>
      <c r="B71" s="167"/>
      <c r="C71" s="167"/>
      <c r="D71" s="167"/>
      <c r="E71" s="167"/>
      <c r="F71" s="167"/>
      <c r="G71" s="167"/>
      <c r="H71" s="167"/>
      <c r="I71" s="167"/>
      <c r="J71" s="167"/>
      <c r="K71" s="167"/>
      <c r="L71" s="167"/>
      <c r="M71" s="167"/>
      <c r="N71" s="167"/>
      <c r="O71" s="169"/>
      <c r="P71" s="169"/>
      <c r="Q71" s="169"/>
      <c r="R71" s="169"/>
    </row>
    <row r="72" spans="1:18" s="14" customFormat="1" ht="14.25" customHeight="1" x14ac:dyDescent="0.3">
      <c r="A72" s="11"/>
      <c r="B72" s="12"/>
      <c r="C72" s="11"/>
      <c r="D72" s="11"/>
      <c r="E72" s="11"/>
      <c r="F72" s="11"/>
      <c r="G72" s="11"/>
      <c r="H72" s="11"/>
      <c r="I72" s="11"/>
      <c r="J72" s="11"/>
      <c r="K72" s="11"/>
      <c r="L72" s="11"/>
      <c r="M72" s="11"/>
      <c r="N72" s="11"/>
      <c r="O72" s="11"/>
      <c r="P72" s="11"/>
      <c r="Q72" s="11"/>
      <c r="R72" s="11"/>
    </row>
    <row r="73" spans="1:18" s="119" customFormat="1" ht="14.25" customHeight="1" x14ac:dyDescent="0.3">
      <c r="A73" s="120" t="s">
        <v>162</v>
      </c>
      <c r="B73" s="120"/>
      <c r="C73" s="121">
        <v>0</v>
      </c>
      <c r="D73" s="121">
        <v>1</v>
      </c>
      <c r="E73" s="121">
        <v>2</v>
      </c>
      <c r="F73" s="121">
        <v>3</v>
      </c>
      <c r="G73" s="121">
        <v>4</v>
      </c>
      <c r="H73" s="121">
        <v>5</v>
      </c>
      <c r="I73" s="121">
        <v>6</v>
      </c>
      <c r="J73" s="121">
        <v>7</v>
      </c>
      <c r="K73" s="121">
        <v>8</v>
      </c>
      <c r="L73" s="121">
        <v>9</v>
      </c>
      <c r="M73" s="121">
        <v>10</v>
      </c>
      <c r="N73" s="121">
        <v>11</v>
      </c>
      <c r="O73" s="121">
        <v>12</v>
      </c>
      <c r="P73" s="121">
        <v>13</v>
      </c>
      <c r="Q73" s="121">
        <v>14</v>
      </c>
      <c r="R73" s="121">
        <v>15</v>
      </c>
    </row>
    <row r="74" spans="1:18" s="133" customFormat="1" ht="14.25" customHeight="1" x14ac:dyDescent="0.3">
      <c r="A74" s="154" t="s">
        <v>163</v>
      </c>
      <c r="B74" s="123"/>
      <c r="C74" s="124"/>
      <c r="D74" s="125">
        <f t="shared" ref="D74:R74" si="1">POWER(1+$B$39,D73-$D$73)</f>
        <v>1</v>
      </c>
      <c r="E74" s="125">
        <f t="shared" si="1"/>
        <v>1.02</v>
      </c>
      <c r="F74" s="125">
        <f t="shared" si="1"/>
        <v>1.0404</v>
      </c>
      <c r="G74" s="125">
        <f t="shared" si="1"/>
        <v>1.0612079999999999</v>
      </c>
      <c r="H74" s="125">
        <f t="shared" si="1"/>
        <v>1.08243216</v>
      </c>
      <c r="I74" s="125">
        <f t="shared" si="1"/>
        <v>1.1040808032</v>
      </c>
      <c r="J74" s="125">
        <f t="shared" si="1"/>
        <v>1.1261624192640001</v>
      </c>
      <c r="K74" s="125">
        <f t="shared" si="1"/>
        <v>1.1486856676492798</v>
      </c>
      <c r="L74" s="125">
        <f t="shared" si="1"/>
        <v>1.1716593810022655</v>
      </c>
      <c r="M74" s="125">
        <f t="shared" si="1"/>
        <v>1.1950925686223108</v>
      </c>
      <c r="N74" s="125">
        <f t="shared" si="1"/>
        <v>1.2189944199947571</v>
      </c>
      <c r="O74" s="125">
        <f t="shared" si="1"/>
        <v>1.243374308394652</v>
      </c>
      <c r="P74" s="125">
        <f t="shared" si="1"/>
        <v>1.2682417945625453</v>
      </c>
      <c r="Q74" s="125">
        <f t="shared" si="1"/>
        <v>1.2936066304537961</v>
      </c>
      <c r="R74" s="125">
        <f t="shared" si="1"/>
        <v>1.3194787630628722</v>
      </c>
    </row>
    <row r="75" spans="1:18" s="133" customFormat="1" ht="14.25" customHeight="1" x14ac:dyDescent="0.3">
      <c r="A75" s="122"/>
      <c r="B75" s="123"/>
      <c r="C75" s="124"/>
      <c r="D75" s="125"/>
      <c r="E75" s="125"/>
      <c r="F75" s="125"/>
      <c r="G75" s="125"/>
      <c r="H75" s="125"/>
      <c r="I75" s="125"/>
      <c r="J75" s="125"/>
      <c r="K75" s="125"/>
      <c r="L75" s="125"/>
      <c r="M75" s="125"/>
      <c r="N75" s="125"/>
      <c r="O75" s="125"/>
      <c r="P75" s="125"/>
      <c r="Q75" s="125"/>
      <c r="R75" s="125"/>
    </row>
    <row r="76" spans="1:18" s="133" customFormat="1" ht="14.25" customHeight="1" x14ac:dyDescent="0.3">
      <c r="A76" s="126" t="s">
        <v>116</v>
      </c>
      <c r="B76" s="127"/>
      <c r="C76" s="127"/>
      <c r="D76" s="127"/>
      <c r="E76" s="127"/>
      <c r="F76" s="127"/>
      <c r="G76" s="127"/>
      <c r="H76" s="127"/>
      <c r="I76" s="127"/>
      <c r="J76" s="127"/>
      <c r="K76" s="127"/>
      <c r="L76" s="127"/>
      <c r="M76" s="127"/>
      <c r="N76" s="127"/>
      <c r="O76" s="127"/>
      <c r="P76" s="127"/>
      <c r="Q76" s="127"/>
      <c r="R76" s="127"/>
    </row>
    <row r="77" spans="1:18" s="133" customFormat="1" ht="14.25" customHeight="1" x14ac:dyDescent="0.3">
      <c r="A77" s="124" t="s">
        <v>164</v>
      </c>
      <c r="B77" s="123"/>
      <c r="C77" s="128">
        <f>-B22</f>
        <v>-3225600</v>
      </c>
      <c r="D77" s="124"/>
      <c r="E77" s="124"/>
      <c r="F77" s="124"/>
      <c r="G77" s="124"/>
      <c r="H77" s="124"/>
      <c r="I77" s="124"/>
      <c r="J77" s="124"/>
      <c r="K77" s="124"/>
      <c r="L77" s="124"/>
      <c r="M77" s="124"/>
      <c r="N77" s="128"/>
      <c r="O77" s="128"/>
      <c r="P77" s="124"/>
      <c r="Q77" s="124"/>
      <c r="R77" s="124"/>
    </row>
    <row r="78" spans="1:18" s="133" customFormat="1" ht="14.25" customHeight="1" x14ac:dyDescent="0.3">
      <c r="A78" s="124" t="s">
        <v>165</v>
      </c>
      <c r="B78" s="123"/>
      <c r="C78" s="128"/>
      <c r="D78" s="129">
        <f>-$B$25*D74</f>
        <v>-168806.70153273601</v>
      </c>
      <c r="E78" s="129">
        <f>-$B$25*E74</f>
        <v>-172182.83556339075</v>
      </c>
      <c r="F78" s="129">
        <f t="shared" ref="F78:M78" si="2">-$B$25*F74</f>
        <v>-175626.49227465855</v>
      </c>
      <c r="G78" s="129">
        <f t="shared" si="2"/>
        <v>-179139.0221201517</v>
      </c>
      <c r="H78" s="129">
        <f t="shared" si="2"/>
        <v>-182721.80256255475</v>
      </c>
      <c r="I78" s="129">
        <f t="shared" si="2"/>
        <v>-186376.23861380585</v>
      </c>
      <c r="J78" s="129">
        <f t="shared" si="2"/>
        <v>-190103.76338608199</v>
      </c>
      <c r="K78" s="129">
        <f t="shared" si="2"/>
        <v>-193905.83865380357</v>
      </c>
      <c r="L78" s="129">
        <f t="shared" si="2"/>
        <v>-197783.95542687966</v>
      </c>
      <c r="M78" s="129">
        <f t="shared" si="2"/>
        <v>-201739.63453541725</v>
      </c>
      <c r="N78" s="129">
        <f>IF($B$37&gt;=N$73,-$B$25*N$74,0)</f>
        <v>0</v>
      </c>
      <c r="O78" s="129">
        <f>IF($B$37&gt;=O$73,-$B$25*O$74,0)</f>
        <v>0</v>
      </c>
      <c r="P78" s="129">
        <f>IF($B$37&gt;=P$73,-$B$25*P$74,0)</f>
        <v>0</v>
      </c>
      <c r="Q78" s="129">
        <f>IF($B$37&gt;=Q$73,-$B$25*Q$74,0)</f>
        <v>0</v>
      </c>
      <c r="R78" s="129">
        <f>IF($B$37&gt;=R$73,-$B$25*R$74,0)</f>
        <v>0</v>
      </c>
    </row>
    <row r="79" spans="1:18" s="133" customFormat="1" ht="14.25" customHeight="1" x14ac:dyDescent="0.3">
      <c r="A79" s="124" t="s">
        <v>166</v>
      </c>
      <c r="B79" s="123"/>
      <c r="C79" s="124"/>
      <c r="D79" s="128">
        <f>-($B$28*$B$18*1000)*D74</f>
        <v>-674021.31455910404</v>
      </c>
      <c r="E79" s="128">
        <f t="shared" ref="E79:M79" si="3">-($B$28*$B$18*1000)*E74</f>
        <v>-687501.74085028609</v>
      </c>
      <c r="F79" s="128">
        <f t="shared" si="3"/>
        <v>-701251.77566729183</v>
      </c>
      <c r="G79" s="128">
        <f t="shared" si="3"/>
        <v>-715276.81118063768</v>
      </c>
      <c r="H79" s="128">
        <f t="shared" si="3"/>
        <v>-729582.34740425041</v>
      </c>
      <c r="I79" s="128">
        <f t="shared" si="3"/>
        <v>-744173.99435233546</v>
      </c>
      <c r="J79" s="128">
        <f t="shared" si="3"/>
        <v>-759057.47423938219</v>
      </c>
      <c r="K79" s="128">
        <f t="shared" si="3"/>
        <v>-774238.62372416968</v>
      </c>
      <c r="L79" s="128">
        <f t="shared" si="3"/>
        <v>-789723.39619865315</v>
      </c>
      <c r="M79" s="128">
        <f t="shared" si="3"/>
        <v>-805517.86412262626</v>
      </c>
      <c r="N79" s="128">
        <f>IF($B$37&gt;=N$73,-($B$28*$B$18*1000)*N74,0)</f>
        <v>0</v>
      </c>
      <c r="O79" s="128">
        <f>IF($B$37&gt;=O$73,-($B$28*$B$18*1000)*O74,0)</f>
        <v>0</v>
      </c>
      <c r="P79" s="128">
        <f>IF($B$37&gt;=P$73,-($B$28*$B$18*1000)*P74,0)</f>
        <v>0</v>
      </c>
      <c r="Q79" s="128">
        <f>IF($B$37&gt;=Q$73,-($B$28*$B$18*1000)*Q74,0)</f>
        <v>0</v>
      </c>
      <c r="R79" s="128">
        <f>IF($B$37&gt;=R$73,-($B$28*$B$18*1000)*R74,0)</f>
        <v>0</v>
      </c>
    </row>
    <row r="80" spans="1:18" s="133" customFormat="1" ht="14.25" customHeight="1" x14ac:dyDescent="0.3">
      <c r="A80" s="126" t="s">
        <v>167</v>
      </c>
      <c r="B80" s="126"/>
      <c r="C80" s="126"/>
      <c r="D80" s="126"/>
      <c r="E80" s="126"/>
      <c r="F80" s="126"/>
      <c r="G80" s="126"/>
      <c r="H80" s="126"/>
      <c r="I80" s="126"/>
      <c r="J80" s="126"/>
      <c r="K80" s="126"/>
      <c r="L80" s="126"/>
      <c r="M80" s="126"/>
      <c r="N80" s="126"/>
      <c r="O80" s="126"/>
      <c r="P80" s="126"/>
      <c r="Q80" s="126"/>
      <c r="R80" s="126"/>
    </row>
    <row r="81" spans="1:18" s="133" customFormat="1" ht="14.25" customHeight="1" x14ac:dyDescent="0.3">
      <c r="A81" s="124" t="s">
        <v>168</v>
      </c>
      <c r="B81" s="123"/>
      <c r="C81" s="124"/>
      <c r="D81" s="128">
        <f>$C$77/$B$38</f>
        <v>-322560</v>
      </c>
      <c r="E81" s="128">
        <f t="shared" ref="E81:M81" si="4">$C$77/$B$38</f>
        <v>-322560</v>
      </c>
      <c r="F81" s="128">
        <f t="shared" si="4"/>
        <v>-322560</v>
      </c>
      <c r="G81" s="128">
        <f t="shared" si="4"/>
        <v>-322560</v>
      </c>
      <c r="H81" s="128">
        <f t="shared" si="4"/>
        <v>-322560</v>
      </c>
      <c r="I81" s="128">
        <f t="shared" si="4"/>
        <v>-322560</v>
      </c>
      <c r="J81" s="128">
        <f t="shared" si="4"/>
        <v>-322560</v>
      </c>
      <c r="K81" s="128">
        <f t="shared" si="4"/>
        <v>-322560</v>
      </c>
      <c r="L81" s="128">
        <f t="shared" si="4"/>
        <v>-322560</v>
      </c>
      <c r="M81" s="128">
        <f t="shared" si="4"/>
        <v>-322560</v>
      </c>
      <c r="N81" s="128"/>
      <c r="O81" s="128"/>
      <c r="P81" s="128"/>
      <c r="Q81" s="128"/>
      <c r="R81" s="128"/>
    </row>
    <row r="82" spans="1:18" s="133" customFormat="1" ht="14.25" customHeight="1" x14ac:dyDescent="0.3">
      <c r="A82" s="130" t="s">
        <v>169</v>
      </c>
      <c r="B82" s="123"/>
      <c r="C82" s="124"/>
      <c r="D82" s="128">
        <f>-IPMT($B$40,D73,$B$38,$B$42*$C$77)</f>
        <v>-107944.70400000001</v>
      </c>
      <c r="E82" s="128">
        <f t="shared" ref="E82:M82" si="5">-IPMT($B$40,E73,$B$38,$B$42*$C$77)</f>
        <v>-99658.515851081844</v>
      </c>
      <c r="F82" s="128">
        <f t="shared" si="5"/>
        <v>-90895.871883600877</v>
      </c>
      <c r="G82" s="128">
        <f t="shared" si="5"/>
        <v>-81629.375887989736</v>
      </c>
      <c r="H82" s="128">
        <f t="shared" si="5"/>
        <v>-71830.056372630963</v>
      </c>
      <c r="I82" s="128">
        <f t="shared" si="5"/>
        <v>-61467.275985139044</v>
      </c>
      <c r="J82" s="128">
        <f t="shared" si="5"/>
        <v>-50508.635725366366</v>
      </c>
      <c r="K82" s="128">
        <f t="shared" si="5"/>
        <v>-38919.873650656751</v>
      </c>
      <c r="L82" s="128">
        <f t="shared" si="5"/>
        <v>-26664.757756651328</v>
      </c>
      <c r="M82" s="128">
        <f t="shared" si="5"/>
        <v>-13704.972698740597</v>
      </c>
      <c r="N82" s="128"/>
      <c r="O82" s="128"/>
      <c r="P82" s="128"/>
      <c r="Q82" s="128"/>
      <c r="R82" s="128"/>
    </row>
    <row r="83" spans="1:18" s="133" customFormat="1" ht="14.25" customHeight="1" x14ac:dyDescent="0.3">
      <c r="A83" s="130" t="s">
        <v>170</v>
      </c>
      <c r="B83" s="123"/>
      <c r="C83" s="124"/>
      <c r="D83" s="128">
        <f>-PPMT($B$40,D73,$B$38,$B$42*$C$77)</f>
        <v>-144107.6199811858</v>
      </c>
      <c r="E83" s="128">
        <f t="shared" ref="E83:M83" si="6">-PPMT($B$40,E73,$B$38,$B$42*$C$77)</f>
        <v>-152393.80813010395</v>
      </c>
      <c r="F83" s="128">
        <f t="shared" si="6"/>
        <v>-161156.45209758493</v>
      </c>
      <c r="G83" s="128">
        <f t="shared" si="6"/>
        <v>-170422.94809319609</v>
      </c>
      <c r="H83" s="128">
        <f t="shared" si="6"/>
        <v>-180222.26760855483</v>
      </c>
      <c r="I83" s="128">
        <f t="shared" si="6"/>
        <v>-190585.04799604675</v>
      </c>
      <c r="J83" s="128">
        <f t="shared" si="6"/>
        <v>-201543.68825581943</v>
      </c>
      <c r="K83" s="128">
        <f t="shared" si="6"/>
        <v>-213132.45033052904</v>
      </c>
      <c r="L83" s="128">
        <f t="shared" si="6"/>
        <v>-225387.56622453447</v>
      </c>
      <c r="M83" s="128">
        <f t="shared" si="6"/>
        <v>-238347.35128244519</v>
      </c>
      <c r="N83" s="128"/>
      <c r="O83" s="128"/>
      <c r="P83" s="128"/>
      <c r="Q83" s="128"/>
      <c r="R83" s="128"/>
    </row>
    <row r="84" spans="1:18" s="134" customFormat="1" ht="14.25" customHeight="1" x14ac:dyDescent="0.3">
      <c r="A84" s="124" t="s">
        <v>171</v>
      </c>
      <c r="B84" s="131"/>
      <c r="C84" s="122"/>
      <c r="D84" s="128">
        <f>SUM(D82:D83)</f>
        <v>-252052.32398118579</v>
      </c>
      <c r="E84" s="128">
        <f t="shared" ref="E84:M84" si="7">SUM(E82:E83)</f>
        <v>-252052.32398118579</v>
      </c>
      <c r="F84" s="128">
        <f>SUM(F82:F83)</f>
        <v>-252052.32398118579</v>
      </c>
      <c r="G84" s="128">
        <f t="shared" si="7"/>
        <v>-252052.32398118582</v>
      </c>
      <c r="H84" s="128">
        <f t="shared" si="7"/>
        <v>-252052.32398118579</v>
      </c>
      <c r="I84" s="128">
        <f t="shared" si="7"/>
        <v>-252052.32398118579</v>
      </c>
      <c r="J84" s="128">
        <f t="shared" si="7"/>
        <v>-252052.32398118579</v>
      </c>
      <c r="K84" s="128">
        <f t="shared" si="7"/>
        <v>-252052.32398118579</v>
      </c>
      <c r="L84" s="128">
        <f t="shared" si="7"/>
        <v>-252052.32398118579</v>
      </c>
      <c r="M84" s="128">
        <f t="shared" si="7"/>
        <v>-252052.32398118579</v>
      </c>
      <c r="N84" s="128"/>
      <c r="O84" s="128"/>
      <c r="P84" s="128"/>
      <c r="Q84" s="128"/>
      <c r="R84" s="128"/>
    </row>
    <row r="85" spans="1:18" s="133" customFormat="1" ht="14.25" customHeight="1" x14ac:dyDescent="0.3">
      <c r="A85" s="126" t="s">
        <v>172</v>
      </c>
      <c r="B85" s="126"/>
      <c r="C85" s="126"/>
      <c r="D85" s="126"/>
      <c r="E85" s="126"/>
      <c r="F85" s="126"/>
      <c r="G85" s="126"/>
      <c r="H85" s="126"/>
      <c r="I85" s="126"/>
      <c r="J85" s="126"/>
      <c r="K85" s="126"/>
      <c r="L85" s="126"/>
      <c r="M85" s="126"/>
      <c r="N85" s="126"/>
      <c r="O85" s="126"/>
      <c r="P85" s="126"/>
      <c r="Q85" s="126"/>
      <c r="R85" s="126"/>
    </row>
    <row r="86" spans="1:18" s="133" customFormat="1" ht="14.25" customHeight="1" x14ac:dyDescent="0.3">
      <c r="A86" s="124" t="s">
        <v>173</v>
      </c>
      <c r="B86" s="123"/>
      <c r="C86" s="124"/>
      <c r="D86" s="128">
        <f>D78+D79+D81+D82</f>
        <v>-1273332.72009184</v>
      </c>
      <c r="E86" s="128">
        <f t="shared" ref="E86:L86" si="8">E78+E79+E81+E82</f>
        <v>-1281903.0922647587</v>
      </c>
      <c r="F86" s="128">
        <f t="shared" si="8"/>
        <v>-1290334.1398255513</v>
      </c>
      <c r="G86" s="128">
        <f t="shared" si="8"/>
        <v>-1298605.2091887791</v>
      </c>
      <c r="H86" s="128">
        <f t="shared" si="8"/>
        <v>-1306694.2063394361</v>
      </c>
      <c r="I86" s="128">
        <f t="shared" si="8"/>
        <v>-1314577.5089512803</v>
      </c>
      <c r="J86" s="128">
        <f t="shared" si="8"/>
        <v>-1322229.8733508307</v>
      </c>
      <c r="K86" s="128">
        <f t="shared" si="8"/>
        <v>-1329624.3360286301</v>
      </c>
      <c r="L86" s="128">
        <f t="shared" si="8"/>
        <v>-1336732.1093821842</v>
      </c>
      <c r="M86" s="128">
        <f>M78+M79+M81+M82</f>
        <v>-1343522.4713567842</v>
      </c>
      <c r="N86" s="128">
        <f>N78+N79+N81+N82</f>
        <v>0</v>
      </c>
      <c r="O86" s="128">
        <f t="shared" ref="O86:P86" si="9">O78+O79+O81+O82</f>
        <v>0</v>
      </c>
      <c r="P86" s="128">
        <f t="shared" si="9"/>
        <v>0</v>
      </c>
      <c r="Q86" s="128">
        <f>Q78+Q79+Q81+Q82</f>
        <v>0</v>
      </c>
      <c r="R86" s="128">
        <f>R78+R79+R81+R82</f>
        <v>0</v>
      </c>
    </row>
    <row r="87" spans="1:18" s="133" customFormat="1" ht="14.25" customHeight="1" x14ac:dyDescent="0.3">
      <c r="A87" s="124" t="s">
        <v>172</v>
      </c>
      <c r="B87" s="123"/>
      <c r="C87" s="124"/>
      <c r="D87" s="128">
        <f>-D86*$B$44</f>
        <v>318333.18002296</v>
      </c>
      <c r="E87" s="128">
        <f t="shared" ref="E87:R87" si="10">-E86*$B$44</f>
        <v>320475.77306618966</v>
      </c>
      <c r="F87" s="128">
        <f t="shared" si="10"/>
        <v>322583.53495638783</v>
      </c>
      <c r="G87" s="128">
        <f t="shared" si="10"/>
        <v>324651.30229719478</v>
      </c>
      <c r="H87" s="128">
        <f t="shared" si="10"/>
        <v>326673.55158485903</v>
      </c>
      <c r="I87" s="128">
        <f t="shared" si="10"/>
        <v>328644.37723782007</v>
      </c>
      <c r="J87" s="128">
        <f t="shared" si="10"/>
        <v>330557.46833770769</v>
      </c>
      <c r="K87" s="128">
        <f t="shared" si="10"/>
        <v>332406.08400715754</v>
      </c>
      <c r="L87" s="128">
        <f t="shared" si="10"/>
        <v>334183.02734554606</v>
      </c>
      <c r="M87" s="128">
        <f t="shared" si="10"/>
        <v>335880.61783919606</v>
      </c>
      <c r="N87" s="128">
        <f t="shared" si="10"/>
        <v>0</v>
      </c>
      <c r="O87" s="128">
        <f t="shared" si="10"/>
        <v>0</v>
      </c>
      <c r="P87" s="128">
        <f t="shared" si="10"/>
        <v>0</v>
      </c>
      <c r="Q87" s="128">
        <f t="shared" si="10"/>
        <v>0</v>
      </c>
      <c r="R87" s="128">
        <f t="shared" si="10"/>
        <v>0</v>
      </c>
    </row>
    <row r="88" spans="1:18" s="133" customFormat="1" ht="14.25" customHeight="1" x14ac:dyDescent="0.3">
      <c r="A88" s="126" t="s">
        <v>174</v>
      </c>
      <c r="B88" s="126"/>
      <c r="C88" s="126"/>
      <c r="D88" s="126"/>
      <c r="E88" s="126"/>
      <c r="F88" s="126"/>
      <c r="G88" s="126"/>
      <c r="H88" s="126"/>
      <c r="I88" s="126"/>
      <c r="J88" s="126"/>
      <c r="K88" s="126"/>
      <c r="L88" s="126"/>
      <c r="M88" s="126"/>
      <c r="N88" s="126"/>
      <c r="O88" s="126"/>
      <c r="P88" s="126"/>
      <c r="Q88" s="126"/>
      <c r="R88" s="126"/>
    </row>
    <row r="89" spans="1:18" s="133" customFormat="1" ht="14.25" customHeight="1" x14ac:dyDescent="0.3">
      <c r="A89" s="124" t="s">
        <v>175</v>
      </c>
      <c r="B89" s="123"/>
      <c r="C89" s="128">
        <f>C77*B43</f>
        <v>-1348300.8</v>
      </c>
      <c r="D89" s="128">
        <f>D78+D79+D84+D87</f>
        <v>-776547.16005006572</v>
      </c>
      <c r="E89" s="128">
        <f t="shared" ref="E89:L89" si="11">E78+E79+E84+E87</f>
        <v>-791261.12732867291</v>
      </c>
      <c r="F89" s="128">
        <f t="shared" si="11"/>
        <v>-806347.05696674844</v>
      </c>
      <c r="G89" s="128">
        <f t="shared" si="11"/>
        <v>-821816.85498478054</v>
      </c>
      <c r="H89" s="128">
        <f t="shared" si="11"/>
        <v>-837682.92236313189</v>
      </c>
      <c r="I89" s="128">
        <f t="shared" si="11"/>
        <v>-853958.17970950715</v>
      </c>
      <c r="J89" s="128">
        <f t="shared" si="11"/>
        <v>-870656.09326894232</v>
      </c>
      <c r="K89" s="128">
        <f t="shared" si="11"/>
        <v>-887790.70235200156</v>
      </c>
      <c r="L89" s="128">
        <f t="shared" si="11"/>
        <v>-905376.6482611727</v>
      </c>
      <c r="M89" s="128">
        <f>M78+M79+M84+M87</f>
        <v>-923429.20480003324</v>
      </c>
      <c r="N89" s="128">
        <f t="shared" ref="N89:R89" si="12">N78+N79+N84+N87</f>
        <v>0</v>
      </c>
      <c r="O89" s="128">
        <f t="shared" si="12"/>
        <v>0</v>
      </c>
      <c r="P89" s="128">
        <f t="shared" si="12"/>
        <v>0</v>
      </c>
      <c r="Q89" s="128">
        <f t="shared" si="12"/>
        <v>0</v>
      </c>
      <c r="R89" s="128">
        <f t="shared" si="12"/>
        <v>0</v>
      </c>
    </row>
    <row r="90" spans="1:18" s="133" customFormat="1" ht="14.25" customHeight="1" x14ac:dyDescent="0.3">
      <c r="A90" s="132" t="s">
        <v>176</v>
      </c>
      <c r="B90" s="123"/>
      <c r="C90" s="124"/>
      <c r="D90" s="128">
        <f t="shared" ref="D90:M90" si="13">(1-$B$44)*($B$15*$B$17)</f>
        <v>16800000</v>
      </c>
      <c r="E90" s="128">
        <f t="shared" si="13"/>
        <v>16800000</v>
      </c>
      <c r="F90" s="128">
        <f t="shared" si="13"/>
        <v>16800000</v>
      </c>
      <c r="G90" s="128">
        <f t="shared" si="13"/>
        <v>16800000</v>
      </c>
      <c r="H90" s="128">
        <f t="shared" si="13"/>
        <v>16800000</v>
      </c>
      <c r="I90" s="128">
        <f t="shared" si="13"/>
        <v>16800000</v>
      </c>
      <c r="J90" s="128">
        <f t="shared" si="13"/>
        <v>16800000</v>
      </c>
      <c r="K90" s="128">
        <f t="shared" si="13"/>
        <v>16800000</v>
      </c>
      <c r="L90" s="128">
        <f t="shared" si="13"/>
        <v>16800000</v>
      </c>
      <c r="M90" s="128">
        <f t="shared" si="13"/>
        <v>16800000</v>
      </c>
      <c r="N90" s="128">
        <f>IF($B$37&gt;=N$73,(1-$B$44)*($B$15*$B$17),0)</f>
        <v>0</v>
      </c>
      <c r="O90" s="128">
        <f>IF($B$37&gt;=O$73,(1-$B$44)*($B$15*$B$17),0)</f>
        <v>0</v>
      </c>
      <c r="P90" s="128">
        <f>IF($B$37&gt;=P$73,(1-$B$44)*($B$15*$B$17),0)</f>
        <v>0</v>
      </c>
      <c r="Q90" s="128">
        <f>IF($B$37&gt;=Q$73,(1-$B$44)*($B$15*$B$17),0)</f>
        <v>0</v>
      </c>
      <c r="R90" s="128">
        <f>IF($B$37&gt;=R$73,(1-$B$44)*($B$15*$B$17),0)</f>
        <v>0</v>
      </c>
    </row>
    <row r="91" spans="1:18" s="133" customFormat="1" ht="14.25" customHeight="1" x14ac:dyDescent="0.3">
      <c r="A91" s="124"/>
      <c r="B91" s="123"/>
      <c r="C91" s="124"/>
      <c r="D91" s="128"/>
      <c r="E91" s="128"/>
      <c r="F91" s="128"/>
      <c r="G91" s="128"/>
      <c r="H91" s="128"/>
      <c r="I91" s="128"/>
      <c r="J91" s="128"/>
      <c r="K91" s="128"/>
      <c r="L91" s="128"/>
      <c r="M91" s="128"/>
      <c r="N91" s="128"/>
      <c r="O91" s="128"/>
      <c r="P91" s="124"/>
      <c r="Q91" s="124"/>
      <c r="R91" s="124"/>
    </row>
    <row r="92" spans="1:18" s="133" customFormat="1" ht="14.25" customHeight="1" x14ac:dyDescent="0.3">
      <c r="A92" s="124"/>
      <c r="B92" s="123"/>
      <c r="C92" s="124"/>
      <c r="D92" s="128"/>
      <c r="E92" s="128"/>
      <c r="F92" s="128"/>
      <c r="G92" s="128"/>
      <c r="H92" s="128"/>
      <c r="I92" s="128"/>
      <c r="J92" s="128"/>
      <c r="K92" s="128"/>
      <c r="L92" s="128"/>
      <c r="M92" s="128"/>
      <c r="N92" s="128"/>
      <c r="O92" s="128"/>
      <c r="P92" s="124"/>
      <c r="Q92" s="124"/>
      <c r="R92" s="124"/>
    </row>
    <row r="93" spans="1:18" s="133" customFormat="1" ht="14.25" customHeight="1" x14ac:dyDescent="0.3">
      <c r="A93" s="124"/>
      <c r="B93" s="123"/>
      <c r="C93" s="124"/>
      <c r="D93" s="124"/>
      <c r="E93" s="124"/>
      <c r="F93" s="124"/>
      <c r="G93" s="124"/>
      <c r="H93" s="124"/>
      <c r="I93" s="124"/>
      <c r="J93" s="124"/>
      <c r="K93" s="124"/>
      <c r="L93" s="124"/>
      <c r="M93" s="124"/>
      <c r="N93" s="124"/>
      <c r="O93" s="124"/>
      <c r="P93" s="124"/>
      <c r="Q93" s="124"/>
      <c r="R93" s="124"/>
    </row>
    <row r="94" spans="1:18" s="133" customFormat="1" ht="5.0999999999999996" customHeight="1" x14ac:dyDescent="0.3">
      <c r="B94" s="135"/>
    </row>
    <row r="95" spans="1:18" s="133" customFormat="1" ht="14.25" customHeight="1" x14ac:dyDescent="0.3">
      <c r="B95" s="136" t="s">
        <v>12</v>
      </c>
      <c r="C95" s="137" t="s">
        <v>13</v>
      </c>
    </row>
    <row r="96" spans="1:18" s="133" customFormat="1" ht="14.25" customHeight="1" x14ac:dyDescent="0.3">
      <c r="A96" s="134" t="s">
        <v>177</v>
      </c>
      <c r="B96" s="138">
        <f>ROUND(((-C89-NPV(B41,D89:R89))/NPV(B41,D90:R90)),4)</f>
        <v>6.3799999999999996E-2</v>
      </c>
      <c r="C96" s="133" t="s">
        <v>178</v>
      </c>
    </row>
    <row r="97" spans="1:18" s="133" customFormat="1" ht="14.25" customHeight="1" x14ac:dyDescent="0.3">
      <c r="A97" s="120" t="s">
        <v>77</v>
      </c>
      <c r="B97" s="143">
        <f>B96/B34*1000</f>
        <v>350.50543102907017</v>
      </c>
      <c r="C97" s="120" t="s">
        <v>179</v>
      </c>
    </row>
    <row r="98" spans="1:18" s="133" customFormat="1" ht="5.0999999999999996" customHeight="1" x14ac:dyDescent="0.3">
      <c r="A98" s="134"/>
      <c r="B98" s="139"/>
    </row>
    <row r="99" spans="1:18" s="142" customFormat="1" x14ac:dyDescent="0.2">
      <c r="A99" s="140"/>
      <c r="B99" s="141"/>
      <c r="C99" s="140"/>
      <c r="D99" s="140"/>
      <c r="E99" s="140"/>
      <c r="F99" s="140"/>
      <c r="G99" s="140"/>
      <c r="H99" s="140"/>
      <c r="I99" s="140"/>
      <c r="J99" s="140"/>
      <c r="K99" s="140"/>
      <c r="L99" s="140"/>
      <c r="M99" s="140"/>
      <c r="N99" s="140"/>
      <c r="O99" s="140"/>
      <c r="P99" s="140"/>
      <c r="Q99" s="140"/>
      <c r="R99" s="140"/>
    </row>
    <row r="100" spans="1:18" s="72" customFormat="1" ht="14.25" customHeight="1" x14ac:dyDescent="0.3">
      <c r="A100" s="95" t="s">
        <v>158</v>
      </c>
      <c r="B100" s="96">
        <f>B55+B56</f>
        <v>263.1557795091901</v>
      </c>
      <c r="C100" s="40" t="s">
        <v>91</v>
      </c>
      <c r="D100" s="76"/>
      <c r="E100" s="40"/>
      <c r="F100" s="40"/>
      <c r="G100" s="40"/>
      <c r="H100" s="40"/>
      <c r="I100" s="40"/>
      <c r="J100" s="89"/>
      <c r="K100" s="40"/>
      <c r="L100" s="40"/>
      <c r="M100" s="40"/>
      <c r="N100" s="40"/>
      <c r="O100" s="40"/>
      <c r="P100" s="40"/>
      <c r="Q100" s="40"/>
      <c r="R100" s="40"/>
    </row>
    <row r="101" spans="1:18" s="72" customFormat="1" ht="14.25" customHeight="1" x14ac:dyDescent="0.3">
      <c r="A101" s="95" t="s">
        <v>159</v>
      </c>
      <c r="B101" s="96">
        <f>B55+B57</f>
        <v>195.78261444357821</v>
      </c>
      <c r="C101" s="40" t="s">
        <v>91</v>
      </c>
      <c r="D101" s="76"/>
      <c r="E101" s="40"/>
      <c r="F101" s="40"/>
      <c r="G101" s="40"/>
      <c r="H101" s="40"/>
      <c r="I101" s="40"/>
      <c r="J101" s="89"/>
      <c r="K101" s="40"/>
      <c r="L101" s="40"/>
      <c r="M101" s="40"/>
      <c r="N101" s="40"/>
      <c r="O101" s="40"/>
      <c r="P101" s="40"/>
      <c r="Q101" s="40"/>
      <c r="R101" s="40"/>
    </row>
    <row r="102" spans="1:18" s="72" customFormat="1" ht="14.25" customHeight="1" x14ac:dyDescent="0.3">
      <c r="A102" s="95" t="s">
        <v>160</v>
      </c>
      <c r="B102" s="96">
        <f>B55</f>
        <v>146.61173480522822</v>
      </c>
      <c r="C102" s="40" t="s">
        <v>91</v>
      </c>
      <c r="D102" s="76"/>
      <c r="E102" s="40"/>
      <c r="F102" s="40"/>
      <c r="G102" s="40"/>
      <c r="H102" s="40"/>
      <c r="I102" s="40"/>
      <c r="J102" s="89"/>
      <c r="K102" s="40"/>
      <c r="L102" s="40"/>
      <c r="M102" s="40"/>
      <c r="N102" s="40"/>
      <c r="O102" s="40"/>
      <c r="P102" s="40"/>
      <c r="Q102" s="40"/>
      <c r="R102" s="40"/>
    </row>
    <row r="103" spans="1:18" s="72" customFormat="1" ht="14.25" customHeight="1" x14ac:dyDescent="0.3">
      <c r="A103" s="95"/>
      <c r="B103" s="96"/>
      <c r="C103" s="40"/>
      <c r="D103" s="76"/>
      <c r="E103" s="40"/>
      <c r="F103" s="40"/>
      <c r="G103" s="40"/>
      <c r="H103" s="40"/>
      <c r="I103" s="40"/>
      <c r="J103" s="89"/>
      <c r="K103" s="40"/>
      <c r="L103" s="40"/>
      <c r="M103" s="40"/>
      <c r="N103" s="40"/>
      <c r="O103" s="40"/>
      <c r="P103" s="40"/>
      <c r="Q103" s="40"/>
      <c r="R103" s="40"/>
    </row>
    <row r="104" spans="1:18" s="142" customFormat="1" x14ac:dyDescent="0.2">
      <c r="A104" s="140"/>
      <c r="B104" s="141"/>
      <c r="C104" s="140"/>
      <c r="D104" s="140"/>
      <c r="E104" s="140"/>
      <c r="F104" s="140"/>
      <c r="G104" s="140"/>
      <c r="H104" s="140"/>
      <c r="I104" s="140"/>
      <c r="J104" s="140"/>
      <c r="K104" s="140"/>
      <c r="L104" s="140"/>
      <c r="M104" s="140"/>
      <c r="N104" s="140"/>
      <c r="O104" s="140"/>
      <c r="P104" s="140"/>
      <c r="Q104" s="140"/>
      <c r="R104" s="140"/>
    </row>
    <row r="105" spans="1:18" x14ac:dyDescent="0.2">
      <c r="A105" s="7"/>
      <c r="C105" s="5"/>
      <c r="D105" s="5"/>
      <c r="E105" s="5"/>
      <c r="F105" s="5"/>
      <c r="G105" s="5"/>
      <c r="H105" s="5"/>
      <c r="I105" s="5"/>
      <c r="J105" s="5"/>
    </row>
    <row r="106" spans="1:18" x14ac:dyDescent="0.2">
      <c r="C106" s="5"/>
      <c r="D106" s="5"/>
      <c r="E106" s="5"/>
      <c r="F106" s="5"/>
      <c r="G106" s="5"/>
      <c r="H106" s="5"/>
      <c r="I106" s="5"/>
      <c r="J106" s="5"/>
    </row>
    <row r="107" spans="1:18" x14ac:dyDescent="0.2">
      <c r="C107" s="5"/>
      <c r="D107" s="5"/>
      <c r="E107" s="5"/>
      <c r="F107" s="5"/>
      <c r="G107" s="5"/>
      <c r="H107" s="5"/>
      <c r="I107" s="5"/>
      <c r="J107" s="5"/>
    </row>
    <row r="108" spans="1:18" x14ac:dyDescent="0.2">
      <c r="C108" s="5"/>
      <c r="D108" s="5"/>
      <c r="E108" s="5"/>
      <c r="F108" s="5"/>
      <c r="G108" s="5"/>
      <c r="H108" s="5"/>
      <c r="I108" s="5"/>
      <c r="J108" s="5"/>
    </row>
    <row r="109" spans="1:18" x14ac:dyDescent="0.2">
      <c r="C109" s="5"/>
      <c r="D109" s="5"/>
      <c r="E109" s="5"/>
      <c r="F109" s="5"/>
      <c r="G109" s="5"/>
      <c r="H109" s="5"/>
      <c r="I109" s="5"/>
      <c r="J109" s="5"/>
    </row>
    <row r="110" spans="1:18" x14ac:dyDescent="0.2">
      <c r="C110" s="5"/>
      <c r="D110" s="5"/>
      <c r="E110" s="5"/>
      <c r="F110" s="5"/>
      <c r="G110" s="5"/>
      <c r="H110" s="5"/>
      <c r="I110" s="5"/>
      <c r="J110" s="5"/>
    </row>
    <row r="111" spans="1:18" x14ac:dyDescent="0.2">
      <c r="C111" s="5"/>
      <c r="D111" s="5"/>
      <c r="E111" s="5"/>
      <c r="F111" s="5"/>
      <c r="G111" s="5"/>
      <c r="H111" s="5"/>
      <c r="I111" s="5"/>
      <c r="J111" s="5"/>
    </row>
    <row r="112" spans="1:18" x14ac:dyDescent="0.2">
      <c r="C112" s="5"/>
      <c r="D112" s="5"/>
      <c r="E112" s="5"/>
      <c r="F112" s="5"/>
      <c r="G112" s="5"/>
      <c r="H112" s="5"/>
      <c r="I112" s="5"/>
      <c r="J112" s="5"/>
    </row>
    <row r="113" spans="1:10" x14ac:dyDescent="0.2">
      <c r="C113" s="5"/>
      <c r="D113" s="5"/>
      <c r="E113" s="5"/>
      <c r="F113" s="5"/>
      <c r="G113" s="5"/>
      <c r="H113" s="5"/>
      <c r="I113" s="5"/>
      <c r="J113" s="5"/>
    </row>
    <row r="116" spans="1:10" x14ac:dyDescent="0.2">
      <c r="A116" s="7"/>
      <c r="B116" s="4"/>
    </row>
    <row r="117" spans="1:10" x14ac:dyDescent="0.2">
      <c r="A117" s="7"/>
      <c r="C117" s="5"/>
      <c r="D117" s="5"/>
      <c r="E117" s="5"/>
      <c r="F117" s="5"/>
      <c r="G117" s="5"/>
      <c r="H117" s="5"/>
      <c r="I117" s="5"/>
      <c r="J117" s="5"/>
    </row>
    <row r="118" spans="1:10" x14ac:dyDescent="0.2">
      <c r="C118" s="5"/>
      <c r="D118" s="5"/>
      <c r="E118" s="5"/>
      <c r="F118" s="5"/>
      <c r="G118" s="5"/>
      <c r="H118" s="5"/>
      <c r="I118" s="5"/>
      <c r="J118" s="5"/>
    </row>
    <row r="119" spans="1:10" x14ac:dyDescent="0.2">
      <c r="C119" s="5"/>
      <c r="D119" s="5"/>
      <c r="E119" s="5"/>
      <c r="F119" s="5"/>
      <c r="G119" s="5"/>
      <c r="H119" s="5"/>
      <c r="I119" s="5"/>
      <c r="J119" s="5"/>
    </row>
    <row r="120" spans="1:10" x14ac:dyDescent="0.2">
      <c r="C120" s="5"/>
      <c r="D120" s="5"/>
      <c r="E120" s="5"/>
      <c r="F120" s="5"/>
      <c r="G120" s="5"/>
      <c r="H120" s="5"/>
      <c r="I120" s="5"/>
      <c r="J120" s="5"/>
    </row>
    <row r="121" spans="1:10" x14ac:dyDescent="0.2">
      <c r="C121" s="5"/>
      <c r="D121" s="5"/>
      <c r="E121" s="5"/>
      <c r="F121" s="5"/>
      <c r="G121" s="5"/>
      <c r="H121" s="5"/>
      <c r="I121" s="5"/>
      <c r="J121" s="5"/>
    </row>
    <row r="122" spans="1:10" x14ac:dyDescent="0.2">
      <c r="C122" s="5"/>
      <c r="D122" s="5"/>
      <c r="E122" s="5"/>
      <c r="F122" s="5"/>
      <c r="G122" s="5"/>
      <c r="H122" s="5"/>
      <c r="I122" s="5"/>
      <c r="J122" s="5"/>
    </row>
    <row r="123" spans="1:10" x14ac:dyDescent="0.2">
      <c r="C123" s="5"/>
      <c r="D123" s="5"/>
      <c r="E123" s="5"/>
      <c r="F123" s="5"/>
      <c r="G123" s="5"/>
      <c r="H123" s="5"/>
      <c r="I123" s="5"/>
      <c r="J123" s="5"/>
    </row>
    <row r="124" spans="1:10" x14ac:dyDescent="0.2">
      <c r="C124" s="5"/>
      <c r="D124" s="5"/>
      <c r="E124" s="5"/>
      <c r="F124" s="5"/>
      <c r="G124" s="5"/>
      <c r="H124" s="5"/>
      <c r="I124" s="5"/>
      <c r="J124" s="5"/>
    </row>
    <row r="128" spans="1:10" x14ac:dyDescent="0.2">
      <c r="B128" s="4"/>
    </row>
    <row r="129" spans="1:10" x14ac:dyDescent="0.2">
      <c r="A129" s="7"/>
      <c r="C129" s="9"/>
      <c r="D129" s="9"/>
      <c r="E129" s="9"/>
      <c r="F129" s="9"/>
      <c r="G129" s="9"/>
      <c r="H129" s="9"/>
    </row>
    <row r="130" spans="1:10" x14ac:dyDescent="0.2">
      <c r="C130" s="9"/>
      <c r="D130" s="9"/>
      <c r="E130" s="9"/>
      <c r="F130" s="9"/>
      <c r="G130" s="9"/>
      <c r="H130" s="9"/>
    </row>
    <row r="131" spans="1:10" x14ac:dyDescent="0.2">
      <c r="C131" s="9"/>
      <c r="D131" s="9"/>
      <c r="E131" s="9"/>
      <c r="F131" s="9"/>
      <c r="G131" s="9"/>
      <c r="H131" s="9"/>
    </row>
    <row r="132" spans="1:10" x14ac:dyDescent="0.2">
      <c r="C132" s="9"/>
      <c r="D132" s="9"/>
      <c r="E132" s="9"/>
      <c r="F132" s="9"/>
      <c r="G132" s="9"/>
      <c r="H132" s="9"/>
    </row>
    <row r="133" spans="1:10" x14ac:dyDescent="0.2">
      <c r="C133" s="9"/>
      <c r="D133" s="9"/>
      <c r="E133" s="9"/>
      <c r="F133" s="9"/>
      <c r="G133" s="9"/>
      <c r="H133" s="9"/>
    </row>
    <row r="134" spans="1:10" x14ac:dyDescent="0.2">
      <c r="A134" s="7"/>
      <c r="C134" s="9"/>
      <c r="D134" s="9"/>
      <c r="E134" s="9"/>
      <c r="F134" s="9"/>
      <c r="G134" s="9"/>
      <c r="H134" s="9"/>
      <c r="I134" s="5"/>
      <c r="J134" s="5"/>
    </row>
    <row r="135" spans="1:10" x14ac:dyDescent="0.2">
      <c r="C135" s="9"/>
      <c r="D135" s="9"/>
      <c r="E135" s="9"/>
      <c r="F135" s="9"/>
      <c r="G135" s="9"/>
      <c r="H135" s="9"/>
      <c r="I135" s="5"/>
      <c r="J135" s="5"/>
    </row>
    <row r="136" spans="1:10" x14ac:dyDescent="0.2">
      <c r="C136" s="9"/>
      <c r="D136" s="9"/>
      <c r="E136" s="9"/>
      <c r="F136" s="9"/>
      <c r="G136" s="9"/>
      <c r="H136" s="9"/>
      <c r="I136" s="5"/>
      <c r="J136" s="5"/>
    </row>
    <row r="137" spans="1:10" x14ac:dyDescent="0.2">
      <c r="C137" s="9"/>
      <c r="D137" s="9"/>
      <c r="E137" s="9"/>
      <c r="F137" s="9"/>
      <c r="G137" s="9"/>
      <c r="H137" s="9"/>
      <c r="I137" s="5"/>
      <c r="J137" s="5"/>
    </row>
    <row r="138" spans="1:10" x14ac:dyDescent="0.2">
      <c r="C138" s="9"/>
      <c r="D138" s="9"/>
      <c r="E138" s="9"/>
      <c r="F138" s="9"/>
      <c r="G138" s="9"/>
      <c r="H138" s="9"/>
      <c r="I138" s="5"/>
      <c r="J138" s="5"/>
    </row>
    <row r="139" spans="1:10" x14ac:dyDescent="0.2">
      <c r="C139" s="9"/>
      <c r="D139" s="9"/>
      <c r="E139" s="9"/>
      <c r="F139" s="9"/>
      <c r="G139" s="9"/>
      <c r="H139" s="9"/>
      <c r="I139" s="5"/>
      <c r="J139" s="5"/>
    </row>
    <row r="140" spans="1:10" x14ac:dyDescent="0.2">
      <c r="C140" s="9"/>
      <c r="D140" s="9"/>
      <c r="E140" s="9"/>
      <c r="F140" s="9"/>
      <c r="G140" s="9"/>
      <c r="H140" s="9"/>
      <c r="I140" s="5"/>
      <c r="J140" s="5"/>
    </row>
    <row r="141" spans="1:10" ht="14.4" x14ac:dyDescent="0.3">
      <c r="B141" s="8"/>
      <c r="C141" s="5"/>
      <c r="D141" s="5"/>
      <c r="E141" s="5"/>
      <c r="F141" s="5"/>
      <c r="G141" s="5"/>
      <c r="H141" s="5"/>
      <c r="I141" s="5"/>
      <c r="J141" s="5"/>
    </row>
    <row r="142" spans="1:10" ht="14.4" x14ac:dyDescent="0.3">
      <c r="B142" s="8"/>
      <c r="C142" s="5"/>
      <c r="D142" s="5"/>
      <c r="E142" s="5"/>
      <c r="F142" s="5"/>
      <c r="G142" s="5"/>
      <c r="H142" s="5"/>
      <c r="I142" s="5"/>
      <c r="J142" s="5"/>
    </row>
    <row r="143" spans="1:10" ht="14.4" x14ac:dyDescent="0.3">
      <c r="B143" s="8"/>
    </row>
  </sheetData>
  <sheetProtection algorithmName="SHA-512" hashValue="t0HTAedVBA0ze5nSyZzT9UBP+azcvx8NOwPjVlvMFm8D1oYNsTRt2xurqQB+t2ddkpQ1mt53nNMCXaZ2TyrF3A==" saltValue="a4bqpMEruKafrY4muTTstA==" spinCount="100000" sheet="1" objects="1" scenarios="1"/>
  <mergeCells count="2">
    <mergeCell ref="A10:R10"/>
    <mergeCell ref="A71:R71"/>
  </mergeCells>
  <conditionalFormatting sqref="A14:C14">
    <cfRule type="expression" dxfId="11" priority="3">
      <formula>B14=1</formula>
    </cfRule>
  </conditionalFormatting>
  <conditionalFormatting sqref="A16:D16">
    <cfRule type="expression" dxfId="10" priority="2">
      <formula>$B$16=1</formula>
    </cfRule>
  </conditionalFormatting>
  <conditionalFormatting sqref="P78:R79 P86:R87 P89:R90">
    <cfRule type="cellIs" dxfId="9" priority="1" operator="equal">
      <formula>0</formula>
    </cfRule>
  </conditionalFormatting>
  <dataValidations disablePrompts="1" count="1">
    <dataValidation type="list" allowBlank="1" showInputMessage="1" showErrorMessage="1" sqref="A5:A6" xr:uid="{F2FA42AE-7430-4A32-BA04-59DCC5A64F59}">
      <formula1>INDIRECT("tech_param[Technologie]")</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05725-B201-494A-B0B2-DE9D4625FA26}">
  <sheetPr>
    <tabColor rgb="FF009B48"/>
  </sheetPr>
  <dimension ref="A1:R143"/>
  <sheetViews>
    <sheetView showGridLines="0" workbookViewId="0">
      <selection activeCell="A7" sqref="A7"/>
    </sheetView>
  </sheetViews>
  <sheetFormatPr defaultColWidth="8.88671875" defaultRowHeight="11.4" x14ac:dyDescent="0.2"/>
  <cols>
    <col min="1" max="1" width="55.6640625" style="1" customWidth="1"/>
    <col min="2" max="2" width="18.33203125" style="3" customWidth="1"/>
    <col min="3" max="3" width="15" style="1" customWidth="1"/>
    <col min="4" max="13" width="11.6640625" style="1" customWidth="1"/>
    <col min="14" max="15" width="11.6640625" style="1" hidden="1" customWidth="1"/>
    <col min="16" max="16" width="11.33203125" style="1" hidden="1" customWidth="1"/>
    <col min="17" max="18" width="12" style="1" hidden="1" customWidth="1"/>
    <col min="19" max="16384" width="8.88671875" style="21"/>
  </cols>
  <sheetData>
    <row r="1" spans="1:18" s="10" customFormat="1" ht="14.25" customHeight="1" x14ac:dyDescent="0.2">
      <c r="A1" s="64"/>
      <c r="B1" s="63"/>
      <c r="C1" s="63"/>
      <c r="D1" s="63"/>
      <c r="E1" s="63"/>
      <c r="F1" s="63"/>
      <c r="G1" s="63"/>
      <c r="H1" s="63"/>
      <c r="I1" s="63"/>
      <c r="J1" s="63"/>
      <c r="K1" s="63"/>
      <c r="L1" s="63"/>
      <c r="M1" s="63"/>
      <c r="N1" s="63"/>
      <c r="O1" s="63"/>
      <c r="P1" s="63"/>
      <c r="Q1" s="63"/>
      <c r="R1" s="63"/>
    </row>
    <row r="2" spans="1:18" s="16" customFormat="1" ht="28.2" customHeight="1" x14ac:dyDescent="0.3">
      <c r="A2" s="71" t="s">
        <v>0</v>
      </c>
      <c r="B2" s="63"/>
      <c r="C2" s="63"/>
      <c r="D2" s="63"/>
      <c r="E2" s="63"/>
      <c r="F2" s="63"/>
      <c r="G2" s="63"/>
      <c r="H2" s="63"/>
      <c r="I2" s="63"/>
      <c r="J2" s="63"/>
      <c r="K2" s="63"/>
      <c r="L2" s="63"/>
      <c r="M2" s="63"/>
      <c r="N2" s="63"/>
      <c r="O2" s="63"/>
      <c r="P2" s="63"/>
      <c r="Q2" s="63"/>
      <c r="R2" s="63"/>
    </row>
    <row r="3" spans="1:18" s="10" customFormat="1" ht="14.25" customHeight="1" x14ac:dyDescent="0.2">
      <c r="A3" s="63"/>
      <c r="B3" s="63"/>
      <c r="C3" s="63"/>
      <c r="D3" s="63"/>
      <c r="E3" s="63"/>
      <c r="F3" s="63"/>
      <c r="G3" s="63"/>
      <c r="H3" s="63"/>
      <c r="I3" s="63"/>
      <c r="J3" s="63"/>
      <c r="K3" s="63"/>
      <c r="L3" s="63"/>
      <c r="M3" s="63"/>
      <c r="N3" s="63"/>
      <c r="O3" s="63"/>
      <c r="P3" s="63"/>
      <c r="Q3" s="63"/>
      <c r="R3" s="63"/>
    </row>
    <row r="4" spans="1:18" s="14" customFormat="1" ht="14.25" customHeight="1" x14ac:dyDescent="0.3">
      <c r="A4" s="11"/>
      <c r="B4" s="12"/>
      <c r="C4" s="11"/>
      <c r="D4" s="11"/>
      <c r="E4" s="11"/>
      <c r="F4" s="11"/>
      <c r="G4" s="11"/>
      <c r="H4" s="11"/>
      <c r="I4" s="11"/>
      <c r="J4" s="11"/>
      <c r="K4" s="11"/>
      <c r="L4" s="11"/>
      <c r="M4" s="11"/>
      <c r="N4" s="11"/>
      <c r="O4" s="11"/>
      <c r="P4" s="11"/>
      <c r="Q4" s="11"/>
      <c r="R4" s="11"/>
    </row>
    <row r="5" spans="1:18" s="20" customFormat="1" ht="28.8" x14ac:dyDescent="0.2">
      <c r="A5" s="113" t="s">
        <v>100</v>
      </c>
      <c r="B5" s="112"/>
      <c r="C5" s="112"/>
      <c r="D5" s="112"/>
      <c r="E5" s="112"/>
      <c r="F5" s="112"/>
      <c r="G5" s="112"/>
      <c r="H5" s="112"/>
      <c r="I5" s="112"/>
      <c r="J5" s="112"/>
      <c r="K5" s="112"/>
      <c r="L5" s="112"/>
      <c r="M5" s="112"/>
      <c r="N5" s="112"/>
      <c r="O5" s="112"/>
      <c r="P5" s="112"/>
      <c r="Q5" s="112"/>
      <c r="R5" s="112"/>
    </row>
    <row r="6" spans="1:18" s="95" customFormat="1" ht="5.0999999999999996" customHeight="1" x14ac:dyDescent="0.3">
      <c r="A6" s="114"/>
      <c r="B6" s="98"/>
      <c r="C6" s="98"/>
      <c r="D6" s="98"/>
      <c r="E6" s="98"/>
      <c r="F6" s="98"/>
      <c r="G6" s="98"/>
      <c r="H6" s="98"/>
      <c r="I6" s="98"/>
      <c r="J6" s="98"/>
      <c r="K6" s="98"/>
      <c r="L6" s="98"/>
      <c r="M6" s="98"/>
      <c r="N6" s="98"/>
      <c r="O6" s="98"/>
    </row>
    <row r="7" spans="1:18" s="24" customFormat="1" ht="14.25" customHeight="1" x14ac:dyDescent="0.3">
      <c r="A7" s="22"/>
      <c r="B7" s="23"/>
      <c r="C7" s="17"/>
      <c r="D7" s="17"/>
      <c r="E7" s="17"/>
      <c r="F7" s="17"/>
      <c r="G7" s="17"/>
      <c r="H7" s="17"/>
      <c r="I7" s="17"/>
      <c r="J7" s="17"/>
      <c r="K7" s="17"/>
      <c r="L7" s="17"/>
      <c r="M7" s="17"/>
      <c r="N7" s="17"/>
      <c r="O7" s="17"/>
      <c r="P7" s="17"/>
      <c r="Q7" s="17"/>
      <c r="R7" s="17"/>
    </row>
    <row r="8" spans="1:18" s="14" customFormat="1" ht="14.25" customHeight="1" x14ac:dyDescent="0.3">
      <c r="A8" s="11"/>
      <c r="B8" s="12"/>
      <c r="C8" s="11"/>
      <c r="D8" s="11"/>
      <c r="E8" s="11"/>
      <c r="F8" s="11"/>
      <c r="G8" s="11"/>
      <c r="H8" s="11"/>
      <c r="I8" s="11"/>
      <c r="J8" s="11"/>
      <c r="K8" s="11"/>
      <c r="L8" s="11"/>
      <c r="M8" s="11"/>
      <c r="N8" s="11"/>
      <c r="O8" s="11"/>
      <c r="P8" s="11"/>
      <c r="Q8" s="11"/>
      <c r="R8" s="11"/>
    </row>
    <row r="9" spans="1:18" s="117" customFormat="1" ht="14.25" customHeight="1" x14ac:dyDescent="0.3">
      <c r="A9" s="116" t="s">
        <v>102</v>
      </c>
      <c r="B9" s="116"/>
      <c r="C9" s="116"/>
      <c r="D9" s="116"/>
      <c r="E9" s="116"/>
      <c r="F9" s="116"/>
      <c r="G9" s="116"/>
      <c r="H9" s="116"/>
      <c r="I9" s="116"/>
      <c r="J9" s="116"/>
      <c r="K9" s="116"/>
    </row>
    <row r="10" spans="1:18" s="95" customFormat="1" ht="14.25" customHeight="1" x14ac:dyDescent="0.3">
      <c r="A10" s="166" t="s">
        <v>1</v>
      </c>
      <c r="B10" s="167"/>
      <c r="C10" s="167"/>
      <c r="D10" s="167"/>
      <c r="E10" s="167"/>
      <c r="F10" s="167"/>
      <c r="G10" s="167"/>
      <c r="H10" s="167"/>
      <c r="I10" s="167"/>
      <c r="J10" s="167"/>
      <c r="K10" s="167"/>
      <c r="L10" s="167"/>
      <c r="M10" s="167"/>
      <c r="N10" s="167"/>
      <c r="O10" s="168"/>
      <c r="P10" s="168"/>
      <c r="Q10" s="168"/>
      <c r="R10" s="168"/>
    </row>
    <row r="11" spans="1:18" s="72" customFormat="1" ht="14.25" customHeight="1" x14ac:dyDescent="0.3">
      <c r="A11" s="73"/>
      <c r="B11" s="74"/>
      <c r="C11" s="40"/>
      <c r="D11" s="40"/>
      <c r="E11" s="40"/>
      <c r="F11" s="40"/>
      <c r="G11" s="40"/>
      <c r="H11" s="40"/>
      <c r="I11" s="40"/>
      <c r="J11" s="40"/>
      <c r="K11" s="40"/>
      <c r="L11" s="40"/>
      <c r="M11" s="40"/>
      <c r="N11" s="40"/>
      <c r="O11" s="40"/>
      <c r="P11" s="40"/>
      <c r="Q11" s="40"/>
      <c r="R11" s="40"/>
    </row>
    <row r="12" spans="1:18" s="109" customFormat="1" ht="14.25" customHeight="1" x14ac:dyDescent="0.3">
      <c r="A12" s="108" t="s">
        <v>103</v>
      </c>
      <c r="B12" s="50" t="s">
        <v>12</v>
      </c>
      <c r="C12" s="108" t="s">
        <v>13</v>
      </c>
      <c r="D12" s="108"/>
      <c r="E12" s="54"/>
      <c r="F12" s="54"/>
      <c r="G12" s="54"/>
      <c r="H12" s="54"/>
      <c r="I12" s="54"/>
      <c r="J12" s="54"/>
      <c r="K12" s="54"/>
      <c r="L12" s="54"/>
      <c r="M12" s="54"/>
      <c r="N12" s="54"/>
      <c r="O12" s="54"/>
      <c r="P12" s="54"/>
      <c r="Q12" s="54"/>
      <c r="R12" s="54"/>
    </row>
    <row r="13" spans="1:18" s="72" customFormat="1" ht="14.25" customHeight="1" x14ac:dyDescent="0.3">
      <c r="A13" s="40" t="s">
        <v>65</v>
      </c>
      <c r="B13" s="62">
        <f>VLOOKUP($A$5,tech_param[],3,FALSE)</f>
        <v>1000</v>
      </c>
      <c r="C13" s="40" t="s">
        <v>104</v>
      </c>
      <c r="D13" s="76"/>
      <c r="E13" s="40"/>
      <c r="F13" s="40"/>
      <c r="G13" s="40"/>
      <c r="H13" s="40"/>
      <c r="I13" s="40"/>
      <c r="J13" s="40"/>
      <c r="K13" s="40"/>
      <c r="L13" s="40"/>
      <c r="M13" s="40"/>
      <c r="N13" s="40"/>
      <c r="O13" s="40"/>
      <c r="P13" s="40"/>
      <c r="Q13" s="40"/>
      <c r="R13" s="40"/>
    </row>
    <row r="14" spans="1:18" s="72" customFormat="1" ht="14.25" customHeight="1" x14ac:dyDescent="0.3">
      <c r="A14" s="40" t="s">
        <v>105</v>
      </c>
      <c r="B14" s="45">
        <f>VLOOKUP($A$5,tech_param[],4,FALSE)</f>
        <v>1</v>
      </c>
      <c r="C14" s="40" t="s">
        <v>106</v>
      </c>
      <c r="D14" s="76"/>
      <c r="E14" s="40"/>
      <c r="F14" s="40"/>
      <c r="G14" s="40"/>
      <c r="H14" s="40"/>
      <c r="I14" s="40"/>
      <c r="J14" s="40"/>
      <c r="K14" s="40"/>
      <c r="L14" s="40"/>
      <c r="M14" s="40"/>
      <c r="N14" s="40"/>
      <c r="O14" s="40"/>
      <c r="P14" s="40"/>
      <c r="Q14" s="40"/>
      <c r="R14" s="40"/>
    </row>
    <row r="15" spans="1:18" s="72" customFormat="1" ht="14.25" customHeight="1" x14ac:dyDescent="0.3">
      <c r="A15" s="40" t="s">
        <v>107</v>
      </c>
      <c r="B15" s="77">
        <f>B13*B14*B16</f>
        <v>7500</v>
      </c>
      <c r="C15" s="40" t="s">
        <v>108</v>
      </c>
      <c r="D15" s="76"/>
      <c r="E15" s="40"/>
      <c r="F15" s="40"/>
      <c r="G15" s="40"/>
      <c r="H15" s="40"/>
      <c r="I15" s="40"/>
      <c r="J15" s="40"/>
      <c r="K15" s="40"/>
      <c r="L15" s="40"/>
      <c r="M15" s="40"/>
      <c r="N15" s="40"/>
      <c r="O15" s="40"/>
      <c r="P15" s="40"/>
      <c r="Q15" s="40"/>
      <c r="R15" s="40"/>
    </row>
    <row r="16" spans="1:18" s="72" customFormat="1" ht="14.25" customHeight="1" x14ac:dyDescent="0.3">
      <c r="A16" s="40" t="s">
        <v>109</v>
      </c>
      <c r="B16" s="78">
        <f>VLOOKUP($A$5,tech_param[],5,FALSE)</f>
        <v>7.5</v>
      </c>
      <c r="C16" s="79" t="s">
        <v>110</v>
      </c>
      <c r="D16" s="153" t="s">
        <v>111</v>
      </c>
      <c r="E16" s="40"/>
      <c r="F16" s="40"/>
      <c r="G16" s="40"/>
      <c r="H16" s="40"/>
      <c r="I16" s="40"/>
      <c r="J16" s="40"/>
      <c r="K16" s="40"/>
      <c r="L16" s="40"/>
      <c r="M16" s="40"/>
      <c r="N16" s="40"/>
      <c r="O16" s="40"/>
      <c r="P16" s="40"/>
      <c r="Q16" s="40"/>
      <c r="R16" s="40"/>
    </row>
    <row r="17" spans="1:18" s="72" customFormat="1" ht="14.25" customHeight="1" x14ac:dyDescent="0.3">
      <c r="A17" s="40" t="s">
        <v>112</v>
      </c>
      <c r="B17" s="62">
        <f>VLOOKUP($A$5,tech_param[],6,FALSE)</f>
        <v>3000</v>
      </c>
      <c r="C17" s="40" t="s">
        <v>113</v>
      </c>
      <c r="D17" s="76"/>
      <c r="E17" s="40"/>
      <c r="F17" s="40"/>
      <c r="G17" s="40"/>
      <c r="H17" s="40"/>
      <c r="I17" s="40"/>
      <c r="J17" s="40"/>
      <c r="K17" s="40"/>
      <c r="L17" s="40"/>
      <c r="M17" s="40"/>
      <c r="N17" s="40"/>
      <c r="O17" s="40"/>
      <c r="P17" s="40"/>
      <c r="Q17" s="40"/>
      <c r="R17" s="40"/>
    </row>
    <row r="18" spans="1:18" s="72" customFormat="1" ht="14.25" customHeight="1" x14ac:dyDescent="0.3">
      <c r="A18" s="40" t="s">
        <v>114</v>
      </c>
      <c r="B18" s="77">
        <f>(B13*B17)/1000</f>
        <v>3000</v>
      </c>
      <c r="C18" s="40" t="s">
        <v>115</v>
      </c>
      <c r="D18" s="76"/>
      <c r="E18" s="40"/>
      <c r="F18" s="40"/>
      <c r="G18" s="40"/>
      <c r="H18" s="40"/>
      <c r="I18" s="40"/>
      <c r="J18" s="40"/>
      <c r="K18" s="40"/>
      <c r="L18" s="40"/>
      <c r="M18" s="40"/>
      <c r="N18" s="40"/>
      <c r="O18" s="40"/>
      <c r="P18" s="40"/>
      <c r="Q18" s="40"/>
      <c r="R18" s="40"/>
    </row>
    <row r="19" spans="1:18" s="72" customFormat="1" ht="14.25" customHeight="1" x14ac:dyDescent="0.3">
      <c r="A19" s="40"/>
      <c r="B19" s="74"/>
      <c r="C19" s="40"/>
      <c r="D19" s="76"/>
      <c r="E19" s="40"/>
      <c r="F19" s="40"/>
      <c r="G19" s="40"/>
      <c r="H19" s="40"/>
      <c r="I19" s="40"/>
      <c r="J19" s="40"/>
      <c r="K19" s="40"/>
      <c r="L19" s="40"/>
      <c r="M19" s="40"/>
      <c r="N19" s="40"/>
      <c r="O19" s="40"/>
      <c r="P19" s="40"/>
      <c r="Q19" s="40"/>
      <c r="R19" s="40"/>
    </row>
    <row r="20" spans="1:18" s="109" customFormat="1" ht="14.25" customHeight="1" x14ac:dyDescent="0.3">
      <c r="A20" s="108" t="s">
        <v>116</v>
      </c>
      <c r="B20" s="50" t="s">
        <v>12</v>
      </c>
      <c r="C20" s="108" t="s">
        <v>13</v>
      </c>
      <c r="D20" s="76"/>
      <c r="E20" s="40"/>
      <c r="F20" s="54"/>
      <c r="G20" s="54"/>
      <c r="H20" s="54"/>
      <c r="I20" s="54"/>
      <c r="J20" s="54"/>
      <c r="K20" s="54"/>
      <c r="L20" s="54"/>
      <c r="M20" s="54"/>
      <c r="N20" s="54"/>
      <c r="O20" s="54"/>
      <c r="P20" s="54"/>
      <c r="Q20" s="54"/>
      <c r="R20" s="54"/>
    </row>
    <row r="21" spans="1:18" s="72" customFormat="1" ht="14.25" customHeight="1" x14ac:dyDescent="0.3">
      <c r="A21" s="79" t="s">
        <v>117</v>
      </c>
      <c r="B21" s="42">
        <f>VLOOKUP($A$5,tech_param[],7,FALSE)</f>
        <v>1152</v>
      </c>
      <c r="C21" s="40" t="s">
        <v>118</v>
      </c>
      <c r="D21" s="80"/>
      <c r="E21" s="40"/>
      <c r="F21" s="40"/>
      <c r="G21" s="40"/>
      <c r="H21" s="40"/>
      <c r="I21" s="40"/>
      <c r="J21" s="40"/>
      <c r="K21" s="40"/>
      <c r="L21" s="40"/>
      <c r="M21" s="40"/>
      <c r="N21" s="40"/>
      <c r="O21" s="40"/>
      <c r="P21" s="40"/>
      <c r="Q21" s="40"/>
      <c r="R21" s="40"/>
    </row>
    <row r="22" spans="1:18" s="72" customFormat="1" ht="14.25" customHeight="1" x14ac:dyDescent="0.3">
      <c r="A22" s="40" t="s">
        <v>119</v>
      </c>
      <c r="B22" s="77">
        <f>B21*B15</f>
        <v>8640000</v>
      </c>
      <c r="C22" s="40" t="s">
        <v>120</v>
      </c>
      <c r="D22" s="76"/>
      <c r="E22" s="40"/>
      <c r="F22" s="40"/>
      <c r="G22" s="40"/>
      <c r="H22" s="40"/>
      <c r="I22" s="40"/>
      <c r="J22" s="40"/>
      <c r="K22" s="40"/>
      <c r="L22" s="40"/>
      <c r="M22" s="40"/>
      <c r="N22" s="40"/>
      <c r="O22" s="40"/>
      <c r="P22" s="40"/>
      <c r="Q22" s="40"/>
      <c r="R22" s="40"/>
    </row>
    <row r="23" spans="1:18" s="72" customFormat="1" ht="14.25" customHeight="1" x14ac:dyDescent="0.3">
      <c r="A23" s="79" t="s">
        <v>121</v>
      </c>
      <c r="B23" s="81">
        <f>VLOOKUP($A$5,tech_param[],9,FALSE)*VLOOKUP($A$5,tech_param[],10,FALSE)</f>
        <v>49.728376915919995</v>
      </c>
      <c r="C23" s="40" t="s">
        <v>183</v>
      </c>
      <c r="D23" s="76"/>
      <c r="E23" s="40"/>
      <c r="F23" s="40"/>
      <c r="G23" s="40"/>
      <c r="H23" s="40"/>
      <c r="I23" s="40"/>
      <c r="J23" s="40"/>
      <c r="K23" s="40"/>
      <c r="L23" s="40"/>
      <c r="M23" s="40"/>
      <c r="N23" s="40"/>
      <c r="O23" s="40"/>
      <c r="P23" s="40"/>
      <c r="Q23" s="40"/>
      <c r="R23" s="40"/>
    </row>
    <row r="24" spans="1:18" s="72" customFormat="1" ht="14.25" customHeight="1" x14ac:dyDescent="0.3">
      <c r="A24" s="79" t="s">
        <v>122</v>
      </c>
      <c r="B24" s="77">
        <f>VLOOKUP($A$5,tech_param[],8,FALSE)*B22/100</f>
        <v>345600</v>
      </c>
      <c r="C24" s="40" t="s">
        <v>123</v>
      </c>
      <c r="D24" s="76"/>
      <c r="E24" s="40"/>
      <c r="F24" s="40"/>
      <c r="G24" s="40"/>
      <c r="H24" s="40"/>
      <c r="I24" s="40"/>
      <c r="J24" s="40"/>
      <c r="K24" s="40"/>
      <c r="L24" s="40"/>
      <c r="M24" s="40"/>
      <c r="N24" s="40"/>
      <c r="O24" s="40"/>
      <c r="P24" s="40"/>
      <c r="Q24" s="40"/>
      <c r="R24" s="40"/>
    </row>
    <row r="25" spans="1:18" s="72" customFormat="1" ht="14.25" customHeight="1" x14ac:dyDescent="0.3">
      <c r="A25" s="40" t="s">
        <v>124</v>
      </c>
      <c r="B25" s="77">
        <f>B23*B13+B24</f>
        <v>395328.37691592</v>
      </c>
      <c r="C25" s="40" t="s">
        <v>123</v>
      </c>
      <c r="D25" s="76"/>
      <c r="E25" s="40"/>
      <c r="F25" s="40"/>
      <c r="G25" s="40"/>
      <c r="H25" s="40"/>
      <c r="I25" s="40"/>
      <c r="J25" s="40"/>
      <c r="K25" s="40"/>
      <c r="L25" s="40"/>
      <c r="M25" s="40"/>
      <c r="N25" s="40"/>
      <c r="O25" s="40"/>
      <c r="P25" s="40"/>
      <c r="Q25" s="40"/>
      <c r="R25" s="40"/>
    </row>
    <row r="26" spans="1:18" s="72" customFormat="1" ht="14.25" customHeight="1" x14ac:dyDescent="0.3">
      <c r="A26" s="79" t="s">
        <v>182</v>
      </c>
      <c r="B26" s="82">
        <f>VLOOKUP($A$5,tech_param[],11,FALSE)</f>
        <v>9.7600000000000006E-2</v>
      </c>
      <c r="C26" s="83" t="s">
        <v>125</v>
      </c>
      <c r="D26" s="76"/>
      <c r="E26" s="40"/>
      <c r="F26" s="40"/>
      <c r="G26" s="40"/>
      <c r="H26" s="40"/>
      <c r="I26" s="40"/>
      <c r="J26" s="40"/>
      <c r="K26" s="40"/>
      <c r="L26" s="40"/>
      <c r="M26" s="40"/>
      <c r="N26" s="40"/>
      <c r="O26" s="40"/>
      <c r="P26" s="40"/>
      <c r="Q26" s="40"/>
      <c r="R26" s="40"/>
    </row>
    <row r="27" spans="1:18" s="72" customFormat="1" ht="14.25" customHeight="1" x14ac:dyDescent="0.3">
      <c r="A27" s="79" t="s">
        <v>126</v>
      </c>
      <c r="B27" s="82">
        <f>VLOOKUP($A$5,tech_param[],12,FALSE)</f>
        <v>7.7158303998599992E-3</v>
      </c>
      <c r="C27" s="40" t="s">
        <v>55</v>
      </c>
      <c r="D27" s="76"/>
      <c r="E27" s="40"/>
      <c r="F27" s="40"/>
      <c r="G27" s="40"/>
      <c r="H27" s="40"/>
      <c r="I27" s="40"/>
      <c r="J27" s="40"/>
      <c r="K27" s="40"/>
      <c r="L27" s="40"/>
      <c r="M27" s="40"/>
      <c r="N27" s="40"/>
      <c r="O27" s="40"/>
      <c r="P27" s="40"/>
      <c r="Q27" s="40"/>
      <c r="R27" s="40"/>
    </row>
    <row r="28" spans="1:18" s="72" customFormat="1" ht="14.25" customHeight="1" x14ac:dyDescent="0.3">
      <c r="A28" s="40" t="s">
        <v>127</v>
      </c>
      <c r="B28" s="84">
        <f>SUM(B26:B27)</f>
        <v>0.10531583039986001</v>
      </c>
      <c r="C28" s="40" t="s">
        <v>55</v>
      </c>
      <c r="D28" s="76"/>
      <c r="E28" s="40"/>
      <c r="F28" s="40"/>
      <c r="G28" s="40"/>
      <c r="H28" s="40"/>
      <c r="I28" s="40"/>
      <c r="J28" s="40"/>
      <c r="K28" s="40"/>
      <c r="L28" s="40"/>
      <c r="M28" s="40"/>
      <c r="N28" s="40"/>
      <c r="O28" s="40"/>
      <c r="P28" s="40"/>
      <c r="Q28" s="40"/>
      <c r="R28" s="40"/>
    </row>
    <row r="29" spans="1:18" s="72" customFormat="1" ht="14.25" customHeight="1" x14ac:dyDescent="0.3">
      <c r="A29" s="40"/>
      <c r="B29" s="74"/>
      <c r="C29" s="40"/>
      <c r="D29" s="43"/>
      <c r="E29" s="43"/>
      <c r="F29" s="43"/>
      <c r="G29" s="43"/>
      <c r="H29" s="43"/>
      <c r="I29" s="43"/>
      <c r="J29" s="43"/>
      <c r="K29" s="43"/>
      <c r="L29" s="43"/>
      <c r="M29" s="43"/>
      <c r="N29" s="43"/>
      <c r="O29" s="43"/>
      <c r="P29" s="43"/>
      <c r="Q29" s="40"/>
      <c r="R29" s="40"/>
    </row>
    <row r="30" spans="1:18" s="72" customFormat="1" ht="14.25" customHeight="1" x14ac:dyDescent="0.3">
      <c r="A30" s="75" t="s">
        <v>128</v>
      </c>
      <c r="B30" s="37" t="s">
        <v>12</v>
      </c>
      <c r="C30" s="75" t="s">
        <v>129</v>
      </c>
      <c r="D30" s="108" t="s">
        <v>14</v>
      </c>
      <c r="E30" s="43"/>
      <c r="F30" s="43"/>
      <c r="G30" s="43"/>
      <c r="H30" s="43"/>
      <c r="I30" s="43"/>
      <c r="J30" s="43"/>
      <c r="K30" s="43"/>
      <c r="L30" s="43"/>
      <c r="M30" s="43"/>
      <c r="N30" s="43"/>
      <c r="O30" s="43"/>
      <c r="P30" s="43"/>
      <c r="Q30" s="40"/>
      <c r="R30" s="40"/>
    </row>
    <row r="31" spans="1:18" s="72" customFormat="1" ht="14.25" customHeight="1" x14ac:dyDescent="0.3">
      <c r="A31" s="40" t="s">
        <v>130</v>
      </c>
      <c r="B31" s="85">
        <f>'Algemene parameters'!B13</f>
        <v>0.20239199999999999</v>
      </c>
      <c r="C31" s="40" t="s">
        <v>131</v>
      </c>
      <c r="D31" s="43" t="s">
        <v>132</v>
      </c>
      <c r="E31" s="43"/>
      <c r="F31" s="43"/>
      <c r="G31" s="43"/>
      <c r="H31" s="43"/>
      <c r="I31" s="43"/>
      <c r="J31" s="43"/>
      <c r="K31" s="43"/>
      <c r="L31" s="43"/>
      <c r="M31" s="43"/>
      <c r="N31" s="43"/>
      <c r="O31" s="43"/>
      <c r="P31" s="43"/>
      <c r="Q31" s="40"/>
      <c r="R31" s="40"/>
    </row>
    <row r="32" spans="1:18" s="72" customFormat="1" ht="14.25" customHeight="1" x14ac:dyDescent="0.3">
      <c r="A32" s="40" t="s">
        <v>133</v>
      </c>
      <c r="B32" s="86">
        <f>'Algemene parameters'!B15</f>
        <v>0.22487999999999997</v>
      </c>
      <c r="C32" s="40" t="s">
        <v>134</v>
      </c>
      <c r="D32" s="43" t="s">
        <v>135</v>
      </c>
      <c r="E32" s="43"/>
      <c r="F32" s="43"/>
      <c r="G32" s="43"/>
      <c r="H32" s="43"/>
      <c r="I32" s="43"/>
      <c r="J32" s="43"/>
      <c r="K32" s="43"/>
      <c r="L32" s="43"/>
      <c r="M32" s="43"/>
      <c r="N32" s="43"/>
      <c r="O32" s="43"/>
      <c r="P32" s="43"/>
      <c r="Q32" s="40"/>
      <c r="R32" s="40"/>
    </row>
    <row r="33" spans="1:18" s="72" customFormat="1" ht="14.25" customHeight="1" x14ac:dyDescent="0.3">
      <c r="A33" s="40" t="s">
        <v>136</v>
      </c>
      <c r="B33" s="85">
        <f>VLOOKUP($A$5,tech_param[],13,FALSE)</f>
        <v>0.15</v>
      </c>
      <c r="C33" s="40" t="s">
        <v>137</v>
      </c>
      <c r="D33" s="43"/>
      <c r="E33" s="43"/>
      <c r="F33" s="43"/>
      <c r="G33" s="43"/>
      <c r="H33" s="43"/>
      <c r="I33" s="43"/>
      <c r="J33" s="43"/>
      <c r="K33" s="43"/>
      <c r="L33" s="43"/>
      <c r="M33" s="43"/>
      <c r="N33" s="43"/>
      <c r="O33" s="43"/>
      <c r="P33" s="43"/>
      <c r="Q33" s="40"/>
      <c r="R33" s="40"/>
    </row>
    <row r="34" spans="1:18" s="72" customFormat="1" ht="14.25" customHeight="1" x14ac:dyDescent="0.3">
      <c r="A34" s="40" t="s">
        <v>138</v>
      </c>
      <c r="B34" s="86">
        <f>B32-(B33*B13/B15)</f>
        <v>0.20487999999999998</v>
      </c>
      <c r="C34" s="40" t="s">
        <v>134</v>
      </c>
      <c r="D34" s="43" t="s">
        <v>139</v>
      </c>
      <c r="E34" s="43"/>
      <c r="F34" s="43"/>
      <c r="G34" s="43"/>
      <c r="H34" s="43"/>
      <c r="I34" s="43"/>
      <c r="J34" s="43"/>
      <c r="K34" s="43"/>
      <c r="L34" s="43"/>
      <c r="M34" s="43"/>
      <c r="N34" s="43"/>
      <c r="O34" s="43"/>
      <c r="P34" s="43"/>
      <c r="Q34" s="40"/>
      <c r="R34" s="40"/>
    </row>
    <row r="35" spans="1:18" s="72" customFormat="1" ht="14.25" customHeight="1" x14ac:dyDescent="0.3">
      <c r="A35" s="40"/>
      <c r="B35" s="74"/>
      <c r="C35" s="40"/>
      <c r="D35" s="43"/>
      <c r="E35" s="43"/>
      <c r="F35" s="43"/>
      <c r="G35" s="43"/>
      <c r="H35" s="43"/>
      <c r="I35" s="43"/>
      <c r="J35" s="43"/>
      <c r="K35" s="43"/>
      <c r="L35" s="43"/>
      <c r="M35" s="43"/>
      <c r="N35" s="43"/>
      <c r="O35" s="43"/>
      <c r="P35" s="43"/>
      <c r="Q35" s="40"/>
      <c r="R35" s="40"/>
    </row>
    <row r="36" spans="1:18" s="109" customFormat="1" ht="14.25" customHeight="1" x14ac:dyDescent="0.3">
      <c r="A36" s="108" t="s">
        <v>28</v>
      </c>
      <c r="B36" s="50" t="s">
        <v>12</v>
      </c>
      <c r="C36" s="108" t="s">
        <v>13</v>
      </c>
      <c r="D36" s="43"/>
      <c r="E36" s="43"/>
      <c r="F36" s="43"/>
      <c r="G36" s="43"/>
      <c r="H36" s="43"/>
      <c r="I36" s="43"/>
      <c r="J36" s="43"/>
      <c r="K36" s="43"/>
      <c r="L36" s="43"/>
      <c r="M36" s="43"/>
      <c r="N36" s="43"/>
      <c r="O36" s="43"/>
      <c r="P36" s="43"/>
      <c r="Q36" s="54"/>
      <c r="R36" s="54"/>
    </row>
    <row r="37" spans="1:18" s="72" customFormat="1" ht="14.25" customHeight="1" x14ac:dyDescent="0.3">
      <c r="A37" s="40" t="s">
        <v>76</v>
      </c>
      <c r="B37" s="88">
        <f>VLOOKUP($A$5,tech_param[],14,FALSE)</f>
        <v>10</v>
      </c>
      <c r="C37" s="40" t="s">
        <v>30</v>
      </c>
      <c r="D37" s="43"/>
      <c r="E37" s="43"/>
      <c r="F37" s="43"/>
      <c r="G37" s="43"/>
      <c r="H37" s="43"/>
      <c r="I37" s="43"/>
      <c r="J37" s="43"/>
      <c r="K37" s="43"/>
      <c r="L37" s="43"/>
      <c r="M37" s="43"/>
      <c r="N37" s="43"/>
      <c r="O37" s="43"/>
      <c r="P37" s="43"/>
      <c r="Q37" s="40"/>
      <c r="R37" s="40"/>
    </row>
    <row r="38" spans="1:18" s="72" customFormat="1" ht="14.25" customHeight="1" x14ac:dyDescent="0.3">
      <c r="A38" s="40" t="s">
        <v>29</v>
      </c>
      <c r="B38" s="62">
        <f>'Algemene parameters'!B23</f>
        <v>10</v>
      </c>
      <c r="C38" s="40" t="s">
        <v>30</v>
      </c>
      <c r="D38" s="43"/>
      <c r="E38" s="43"/>
      <c r="F38" s="43"/>
      <c r="G38" s="43"/>
      <c r="H38" s="43"/>
      <c r="I38" s="43"/>
      <c r="J38" s="43"/>
      <c r="K38" s="43"/>
      <c r="L38" s="43"/>
      <c r="M38" s="43"/>
      <c r="N38" s="43"/>
      <c r="O38" s="43"/>
      <c r="P38" s="43"/>
      <c r="Q38" s="40"/>
      <c r="R38" s="40"/>
    </row>
    <row r="39" spans="1:18" s="72" customFormat="1" ht="14.25" customHeight="1" x14ac:dyDescent="0.3">
      <c r="A39" s="40" t="s">
        <v>31</v>
      </c>
      <c r="B39" s="90">
        <f>'Algemene parameters'!B24</f>
        <v>0.02</v>
      </c>
      <c r="C39" s="40"/>
      <c r="D39" s="43"/>
      <c r="E39" s="43"/>
      <c r="F39" s="43"/>
      <c r="G39" s="43"/>
      <c r="H39" s="43"/>
      <c r="I39" s="43"/>
      <c r="J39" s="43"/>
      <c r="K39" s="43"/>
      <c r="L39" s="43"/>
      <c r="M39" s="43"/>
      <c r="N39" s="43"/>
      <c r="O39" s="43"/>
      <c r="P39" s="43"/>
      <c r="Q39" s="40"/>
      <c r="R39" s="40"/>
    </row>
    <row r="40" spans="1:18" s="72" customFormat="1" ht="14.25" customHeight="1" x14ac:dyDescent="0.3">
      <c r="A40" s="79" t="s">
        <v>140</v>
      </c>
      <c r="B40" s="90">
        <f>'Algemene parameters'!B25</f>
        <v>5.7500000000000002E-2</v>
      </c>
      <c r="C40" s="40"/>
      <c r="D40" s="40"/>
      <c r="E40" s="40"/>
      <c r="F40" s="40"/>
      <c r="G40" s="40"/>
      <c r="H40" s="40"/>
      <c r="I40" s="40"/>
      <c r="J40" s="40"/>
      <c r="K40" s="40"/>
      <c r="L40" s="40"/>
      <c r="M40" s="40"/>
      <c r="N40" s="40"/>
      <c r="O40" s="40"/>
      <c r="P40" s="40"/>
      <c r="Q40" s="40"/>
      <c r="R40" s="40"/>
    </row>
    <row r="41" spans="1:18" s="72" customFormat="1" ht="14.25" customHeight="1" x14ac:dyDescent="0.3">
      <c r="A41" s="79" t="s">
        <v>141</v>
      </c>
      <c r="B41" s="45">
        <f>'Algemene parameters'!B26</f>
        <v>0.12</v>
      </c>
      <c r="C41" s="40"/>
      <c r="D41" s="40"/>
      <c r="E41" s="40"/>
      <c r="F41" s="40"/>
      <c r="G41" s="40"/>
      <c r="H41" s="40"/>
      <c r="I41" s="40"/>
      <c r="J41" s="40"/>
      <c r="K41" s="40"/>
      <c r="L41" s="40"/>
      <c r="M41" s="40"/>
      <c r="N41" s="40"/>
      <c r="O41" s="40"/>
      <c r="P41" s="40"/>
      <c r="Q41" s="40"/>
      <c r="R41" s="40"/>
    </row>
    <row r="42" spans="1:18" s="72" customFormat="1" ht="14.25" customHeight="1" x14ac:dyDescent="0.3">
      <c r="A42" s="79" t="s">
        <v>142</v>
      </c>
      <c r="B42" s="45">
        <f>'Algemene parameters'!B27</f>
        <v>0.58200000000000007</v>
      </c>
      <c r="C42" s="40"/>
      <c r="D42" s="40"/>
      <c r="E42" s="40"/>
      <c r="F42" s="40"/>
      <c r="G42" s="40"/>
      <c r="H42" s="40"/>
      <c r="I42" s="40"/>
      <c r="J42" s="40"/>
      <c r="K42" s="40"/>
      <c r="L42" s="40"/>
      <c r="M42" s="40"/>
      <c r="N42" s="40"/>
      <c r="O42" s="40"/>
      <c r="P42" s="40"/>
      <c r="Q42" s="40"/>
      <c r="R42" s="40"/>
    </row>
    <row r="43" spans="1:18" s="72" customFormat="1" ht="14.25" customHeight="1" x14ac:dyDescent="0.3">
      <c r="A43" s="79" t="s">
        <v>143</v>
      </c>
      <c r="B43" s="45">
        <f>'Algemene parameters'!B28</f>
        <v>0.41799999999999998</v>
      </c>
      <c r="C43" s="40"/>
      <c r="D43" s="40"/>
      <c r="E43" s="40"/>
      <c r="F43" s="40"/>
      <c r="G43" s="40"/>
      <c r="H43" s="40"/>
      <c r="I43" s="40"/>
      <c r="J43" s="40"/>
      <c r="K43" s="40"/>
      <c r="L43" s="40"/>
      <c r="M43" s="40"/>
      <c r="N43" s="40"/>
      <c r="O43" s="40"/>
      <c r="P43" s="40"/>
      <c r="Q43" s="40"/>
      <c r="R43" s="40"/>
    </row>
    <row r="44" spans="1:18" s="72" customFormat="1" ht="14.25" customHeight="1" x14ac:dyDescent="0.3">
      <c r="A44" s="40" t="s">
        <v>41</v>
      </c>
      <c r="B44" s="45">
        <f>'Algemene parameters'!B29</f>
        <v>0.25</v>
      </c>
      <c r="C44" s="40"/>
      <c r="D44" s="40"/>
      <c r="E44" s="40"/>
      <c r="F44" s="40"/>
      <c r="G44" s="40"/>
      <c r="H44" s="40"/>
      <c r="I44" s="40"/>
      <c r="J44" s="40"/>
      <c r="K44" s="40"/>
      <c r="L44" s="40"/>
      <c r="M44" s="40"/>
      <c r="N44" s="40"/>
      <c r="O44" s="40"/>
      <c r="P44" s="40"/>
      <c r="Q44" s="40"/>
      <c r="R44" s="40"/>
    </row>
    <row r="45" spans="1:18" s="72" customFormat="1" ht="14.25" customHeight="1" x14ac:dyDescent="0.3">
      <c r="A45" s="115" t="s">
        <v>42</v>
      </c>
      <c r="B45" s="111">
        <f>'Algemene parameters'!B30</f>
        <v>7.5258749999999999E-2</v>
      </c>
      <c r="C45" s="40"/>
      <c r="D45" s="40"/>
      <c r="E45" s="40"/>
      <c r="F45" s="40"/>
      <c r="G45" s="40"/>
      <c r="H45" s="40"/>
      <c r="I45" s="40"/>
      <c r="J45" s="40"/>
      <c r="K45" s="40"/>
      <c r="L45" s="40"/>
      <c r="M45" s="40"/>
      <c r="N45" s="40"/>
      <c r="O45" s="40"/>
      <c r="P45" s="40"/>
      <c r="Q45" s="40"/>
      <c r="R45" s="40"/>
    </row>
    <row r="46" spans="1:18" s="72" customFormat="1" ht="14.25" customHeight="1" x14ac:dyDescent="0.3">
      <c r="A46" s="40"/>
      <c r="B46" s="40"/>
      <c r="C46" s="40"/>
      <c r="D46" s="91"/>
      <c r="E46" s="91"/>
      <c r="F46" s="91"/>
      <c r="G46" s="91"/>
      <c r="H46" s="91"/>
      <c r="I46" s="91"/>
      <c r="J46" s="91"/>
      <c r="K46" s="91"/>
      <c r="L46" s="91"/>
      <c r="M46" s="91"/>
      <c r="N46" s="40"/>
      <c r="O46" s="40"/>
      <c r="P46" s="40"/>
      <c r="Q46" s="40"/>
      <c r="R46" s="40"/>
    </row>
    <row r="47" spans="1:18" s="109" customFormat="1" ht="14.25" customHeight="1" x14ac:dyDescent="0.3">
      <c r="A47" s="108" t="s">
        <v>144</v>
      </c>
      <c r="B47" s="50" t="s">
        <v>12</v>
      </c>
      <c r="C47" s="108" t="s">
        <v>13</v>
      </c>
      <c r="D47" s="108" t="s">
        <v>14</v>
      </c>
      <c r="E47" s="54"/>
      <c r="F47" s="54"/>
      <c r="G47" s="54"/>
      <c r="H47" s="54"/>
      <c r="I47" s="54"/>
      <c r="J47" s="110"/>
      <c r="K47" s="54"/>
      <c r="L47" s="54"/>
      <c r="M47" s="54"/>
      <c r="N47" s="54"/>
      <c r="O47" s="54"/>
      <c r="P47" s="54"/>
      <c r="Q47" s="54"/>
      <c r="R47" s="54"/>
    </row>
    <row r="48" spans="1:18" s="72" customFormat="1" ht="14.25" customHeight="1" x14ac:dyDescent="0.3">
      <c r="A48" s="79" t="s">
        <v>145</v>
      </c>
      <c r="B48" s="92">
        <f>'Algemene parameters'!B42/'Algemene parameters'!B14/B34*1000</f>
        <v>195.3828108642999</v>
      </c>
      <c r="C48" s="40" t="s">
        <v>91</v>
      </c>
      <c r="D48" s="43" t="s">
        <v>146</v>
      </c>
      <c r="E48" s="43"/>
      <c r="F48" s="43"/>
      <c r="G48" s="43"/>
      <c r="H48" s="43"/>
      <c r="I48" s="43"/>
      <c r="J48" s="87"/>
      <c r="K48" s="40"/>
      <c r="L48" s="40"/>
      <c r="M48" s="40"/>
      <c r="N48" s="40"/>
      <c r="O48" s="40"/>
      <c r="P48" s="40"/>
      <c r="Q48" s="40"/>
      <c r="R48" s="40"/>
    </row>
    <row r="49" spans="1:18" s="72" customFormat="1" ht="14.25" customHeight="1" x14ac:dyDescent="0.3">
      <c r="A49" s="79" t="s">
        <v>147</v>
      </c>
      <c r="B49" s="92">
        <f>(('Algemene parameters'!B44/1000*B32))/B34*1000</f>
        <v>155.3129636860601</v>
      </c>
      <c r="C49" s="40" t="s">
        <v>91</v>
      </c>
      <c r="D49" s="43" t="s">
        <v>148</v>
      </c>
      <c r="E49" s="43"/>
      <c r="F49" s="43"/>
      <c r="G49" s="43"/>
      <c r="H49" s="43"/>
      <c r="I49" s="43"/>
      <c r="J49" s="87"/>
      <c r="K49" s="40"/>
      <c r="L49" s="40"/>
      <c r="M49" s="40"/>
      <c r="N49" s="40"/>
      <c r="O49" s="40"/>
      <c r="P49" s="40"/>
      <c r="Q49" s="40"/>
      <c r="R49" s="40"/>
    </row>
    <row r="50" spans="1:18" s="72" customFormat="1" ht="14.25" customHeight="1" x14ac:dyDescent="0.3">
      <c r="A50" s="79" t="s">
        <v>149</v>
      </c>
      <c r="B50" s="92">
        <f>(('Algemene parameters'!B45/1000*B32))/B34*1000</f>
        <v>65.527801639984375</v>
      </c>
      <c r="C50" s="40" t="s">
        <v>91</v>
      </c>
      <c r="D50" s="43" t="s">
        <v>150</v>
      </c>
      <c r="E50" s="43"/>
      <c r="F50" s="43"/>
      <c r="G50" s="43"/>
      <c r="H50" s="43"/>
      <c r="I50" s="43"/>
      <c r="J50" s="87"/>
      <c r="K50" s="40"/>
      <c r="L50" s="40"/>
      <c r="M50" s="40"/>
      <c r="N50" s="40"/>
      <c r="O50" s="40"/>
      <c r="P50" s="40"/>
      <c r="Q50" s="40"/>
      <c r="R50" s="40"/>
    </row>
    <row r="51" spans="1:18" s="72" customFormat="1" ht="14.25" customHeight="1" x14ac:dyDescent="0.3">
      <c r="A51" s="40" t="s">
        <v>151</v>
      </c>
      <c r="B51" s="92">
        <f>SUM(B48:B49)</f>
        <v>350.69577455036</v>
      </c>
      <c r="C51" s="40" t="s">
        <v>91</v>
      </c>
      <c r="D51" s="43"/>
      <c r="E51" s="43"/>
      <c r="F51" s="43"/>
      <c r="G51" s="43"/>
      <c r="H51" s="43"/>
      <c r="I51" s="43"/>
      <c r="J51" s="89"/>
      <c r="K51" s="40"/>
      <c r="L51" s="40"/>
      <c r="M51" s="40"/>
      <c r="N51" s="40"/>
      <c r="O51" s="40"/>
      <c r="P51" s="40"/>
      <c r="Q51" s="40"/>
      <c r="R51" s="40"/>
    </row>
    <row r="52" spans="1:18" s="72" customFormat="1" ht="14.25" customHeight="1" x14ac:dyDescent="0.3">
      <c r="A52" s="40" t="s">
        <v>152</v>
      </c>
      <c r="B52" s="92">
        <f>B48+B50</f>
        <v>260.91061250428425</v>
      </c>
      <c r="C52" s="40" t="s">
        <v>91</v>
      </c>
      <c r="D52" s="43"/>
      <c r="E52" s="43"/>
      <c r="F52" s="43"/>
      <c r="G52" s="43"/>
      <c r="H52" s="43"/>
      <c r="I52" s="43"/>
      <c r="J52" s="89"/>
      <c r="K52" s="40"/>
      <c r="L52" s="40"/>
      <c r="M52" s="40"/>
      <c r="N52" s="40"/>
      <c r="O52" s="40"/>
      <c r="P52" s="40"/>
      <c r="Q52" s="40"/>
      <c r="R52" s="40"/>
    </row>
    <row r="53" spans="1:18" s="72" customFormat="1" ht="14.25" customHeight="1" x14ac:dyDescent="0.3">
      <c r="A53" s="40"/>
      <c r="B53" s="74"/>
      <c r="C53" s="40"/>
      <c r="D53" s="43"/>
      <c r="E53" s="43"/>
      <c r="F53" s="43"/>
      <c r="G53" s="43"/>
      <c r="H53" s="43"/>
      <c r="I53" s="43"/>
      <c r="J53" s="89"/>
      <c r="K53" s="40"/>
      <c r="L53" s="40"/>
      <c r="M53" s="40"/>
      <c r="N53" s="40"/>
      <c r="O53" s="40"/>
      <c r="P53" s="40"/>
      <c r="Q53" s="40"/>
      <c r="R53" s="40"/>
    </row>
    <row r="54" spans="1:18" s="109" customFormat="1" ht="14.25" customHeight="1" x14ac:dyDescent="0.3">
      <c r="A54" s="108" t="s">
        <v>153</v>
      </c>
      <c r="B54" s="50" t="s">
        <v>12</v>
      </c>
      <c r="C54" s="108" t="s">
        <v>13</v>
      </c>
      <c r="D54" s="108" t="s">
        <v>14</v>
      </c>
      <c r="E54" s="43"/>
      <c r="F54" s="43"/>
      <c r="G54" s="43"/>
      <c r="H54" s="43"/>
      <c r="I54" s="43"/>
      <c r="J54" s="110"/>
      <c r="K54" s="54"/>
      <c r="L54" s="54"/>
      <c r="M54" s="54"/>
      <c r="N54" s="54"/>
      <c r="O54" s="54"/>
      <c r="P54" s="54"/>
      <c r="Q54" s="54"/>
      <c r="R54" s="54"/>
    </row>
    <row r="55" spans="1:18" s="72" customFormat="1" ht="14.25" customHeight="1" x14ac:dyDescent="0.3">
      <c r="A55" s="79" t="s">
        <v>154</v>
      </c>
      <c r="B55" s="92">
        <f>B59/$B$34*1000</f>
        <v>130.25520724286659</v>
      </c>
      <c r="C55" s="40" t="s">
        <v>91</v>
      </c>
      <c r="D55" s="151" t="s">
        <v>155</v>
      </c>
      <c r="E55" s="151"/>
      <c r="F55" s="151"/>
      <c r="G55" s="151"/>
      <c r="H55" s="151"/>
      <c r="I55" s="151"/>
      <c r="J55" s="152"/>
      <c r="K55" s="40"/>
      <c r="L55" s="40"/>
      <c r="M55" s="40"/>
      <c r="N55" s="40"/>
      <c r="O55" s="40"/>
      <c r="P55" s="40"/>
      <c r="Q55" s="40"/>
      <c r="R55" s="40"/>
    </row>
    <row r="56" spans="1:18" s="72" customFormat="1" ht="14.25" customHeight="1" x14ac:dyDescent="0.3">
      <c r="A56" s="79" t="s">
        <v>156</v>
      </c>
      <c r="B56" s="92">
        <f t="shared" ref="B56:B57" si="0">B60/$B$34*1000</f>
        <v>103.54197579070676</v>
      </c>
      <c r="C56" s="40" t="s">
        <v>91</v>
      </c>
      <c r="D56" s="151" t="s">
        <v>155</v>
      </c>
      <c r="E56" s="151"/>
      <c r="F56" s="151"/>
      <c r="G56" s="151"/>
      <c r="H56" s="151"/>
      <c r="I56" s="151"/>
      <c r="J56" s="152"/>
      <c r="K56" s="40"/>
      <c r="L56" s="40"/>
      <c r="M56" s="40"/>
      <c r="N56" s="40"/>
      <c r="O56" s="40"/>
      <c r="P56" s="40"/>
      <c r="Q56" s="40"/>
      <c r="R56" s="40"/>
    </row>
    <row r="57" spans="1:18" s="72" customFormat="1" ht="14.25" customHeight="1" x14ac:dyDescent="0.3">
      <c r="A57" s="79" t="s">
        <v>157</v>
      </c>
      <c r="B57" s="92">
        <f t="shared" si="0"/>
        <v>43.68520109332291</v>
      </c>
      <c r="C57" s="40" t="s">
        <v>91</v>
      </c>
      <c r="D57" s="151" t="s">
        <v>155</v>
      </c>
      <c r="E57" s="151"/>
      <c r="F57" s="151"/>
      <c r="G57" s="151"/>
      <c r="H57" s="151"/>
      <c r="I57" s="151"/>
      <c r="J57" s="152"/>
      <c r="K57" s="40"/>
      <c r="L57" s="40"/>
      <c r="M57" s="40"/>
      <c r="N57" s="40"/>
      <c r="O57" s="40"/>
      <c r="P57" s="40"/>
      <c r="Q57" s="40"/>
      <c r="R57" s="40"/>
    </row>
    <row r="58" spans="1:18" s="72" customFormat="1" ht="14.25" customHeight="1" x14ac:dyDescent="0.3">
      <c r="A58" s="79"/>
      <c r="B58" s="92"/>
      <c r="C58" s="40"/>
      <c r="D58" s="43"/>
      <c r="E58" s="43"/>
      <c r="F58" s="43"/>
      <c r="G58" s="43"/>
      <c r="H58" s="43"/>
      <c r="I58" s="43"/>
      <c r="J58" s="87"/>
      <c r="K58" s="40"/>
      <c r="L58" s="40"/>
      <c r="M58" s="40"/>
      <c r="N58" s="40"/>
      <c r="O58" s="40"/>
      <c r="P58" s="40"/>
      <c r="Q58" s="40"/>
      <c r="R58" s="40"/>
    </row>
    <row r="59" spans="1:18" s="72" customFormat="1" ht="14.25" customHeight="1" x14ac:dyDescent="0.3">
      <c r="A59" s="79" t="s">
        <v>154</v>
      </c>
      <c r="B59" s="93">
        <f>2/3*'Algemene parameters'!B42/'Algemene parameters'!B14</f>
        <v>2.6686686859918506E-2</v>
      </c>
      <c r="C59" s="40" t="s">
        <v>92</v>
      </c>
      <c r="D59" s="43"/>
      <c r="E59" s="43"/>
      <c r="F59" s="43"/>
      <c r="G59" s="43"/>
      <c r="H59" s="43"/>
      <c r="I59" s="43"/>
      <c r="J59" s="87"/>
      <c r="K59" s="40"/>
      <c r="L59" s="40"/>
      <c r="M59" s="40"/>
      <c r="N59" s="40"/>
      <c r="O59" s="40"/>
      <c r="P59" s="40"/>
      <c r="Q59" s="40"/>
      <c r="R59" s="40"/>
    </row>
    <row r="60" spans="1:18" s="72" customFormat="1" ht="14.25" customHeight="1" x14ac:dyDescent="0.3">
      <c r="A60" s="79" t="s">
        <v>156</v>
      </c>
      <c r="B60" s="93">
        <f>2/3*'Algemene parameters'!B44*'Algemene parameters'!B13/'Algemene parameters'!B14/1000</f>
        <v>2.1213679999999999E-2</v>
      </c>
      <c r="C60" s="40" t="s">
        <v>92</v>
      </c>
      <c r="D60" s="43"/>
      <c r="E60" s="43"/>
      <c r="F60" s="43"/>
      <c r="G60" s="43"/>
      <c r="H60" s="43"/>
      <c r="I60" s="43"/>
      <c r="J60" s="87"/>
      <c r="K60" s="40"/>
      <c r="L60" s="40"/>
      <c r="M60" s="40"/>
      <c r="N60" s="40"/>
      <c r="O60" s="40"/>
      <c r="P60" s="40"/>
      <c r="Q60" s="40"/>
      <c r="R60" s="40"/>
    </row>
    <row r="61" spans="1:18" s="72" customFormat="1" ht="14.25" customHeight="1" x14ac:dyDescent="0.3">
      <c r="A61" s="79" t="s">
        <v>157</v>
      </c>
      <c r="B61" s="93">
        <f>2/3*'Algemene parameters'!B45*'Algemene parameters'!B13/'Algemene parameters'!B14/1000</f>
        <v>8.9502239999999979E-3</v>
      </c>
      <c r="C61" s="40" t="s">
        <v>92</v>
      </c>
      <c r="D61" s="43"/>
      <c r="E61" s="43"/>
      <c r="F61" s="43"/>
      <c r="G61" s="43"/>
      <c r="H61" s="43"/>
      <c r="I61" s="43"/>
      <c r="J61" s="87"/>
      <c r="K61" s="40"/>
      <c r="L61" s="40"/>
      <c r="M61" s="40"/>
      <c r="N61" s="40"/>
      <c r="O61" s="40"/>
      <c r="P61" s="40"/>
      <c r="Q61" s="40"/>
      <c r="R61" s="40"/>
    </row>
    <row r="62" spans="1:18" s="72" customFormat="1" ht="14.25" customHeight="1" x14ac:dyDescent="0.3">
      <c r="A62" s="79"/>
      <c r="B62" s="92"/>
      <c r="C62" s="40"/>
      <c r="D62" s="94"/>
      <c r="I62" s="40"/>
      <c r="J62" s="87"/>
      <c r="K62" s="40"/>
      <c r="L62" s="40"/>
      <c r="M62" s="40"/>
      <c r="N62" s="40"/>
      <c r="O62" s="40"/>
      <c r="P62" s="40"/>
      <c r="Q62" s="40"/>
      <c r="R62" s="40"/>
    </row>
    <row r="63" spans="1:18" s="72" customFormat="1" ht="14.25" customHeight="1" x14ac:dyDescent="0.3">
      <c r="A63" s="95" t="s">
        <v>158</v>
      </c>
      <c r="B63" s="97">
        <f>B59+B60</f>
        <v>4.7900366859918504E-2</v>
      </c>
      <c r="C63" s="40" t="s">
        <v>92</v>
      </c>
      <c r="D63" s="76"/>
      <c r="E63" s="40"/>
      <c r="F63" s="40"/>
      <c r="G63" s="40"/>
      <c r="H63" s="40"/>
      <c r="I63" s="40"/>
      <c r="J63" s="89"/>
      <c r="K63" s="40"/>
      <c r="L63" s="40"/>
      <c r="M63" s="40"/>
      <c r="N63" s="40"/>
      <c r="O63" s="40"/>
      <c r="P63" s="40"/>
      <c r="Q63" s="40"/>
      <c r="R63" s="40"/>
    </row>
    <row r="64" spans="1:18" s="72" customFormat="1" ht="14.25" customHeight="1" x14ac:dyDescent="0.3">
      <c r="A64" s="95" t="s">
        <v>159</v>
      </c>
      <c r="B64" s="97">
        <f>B59+B61</f>
        <v>3.5636910859918505E-2</v>
      </c>
      <c r="C64" s="40" t="s">
        <v>92</v>
      </c>
      <c r="D64" s="76"/>
      <c r="E64" s="40"/>
      <c r="F64" s="40"/>
      <c r="G64" s="40"/>
      <c r="H64" s="40"/>
      <c r="I64" s="40"/>
      <c r="J64" s="89"/>
      <c r="K64" s="40"/>
      <c r="L64" s="40"/>
      <c r="M64" s="40"/>
      <c r="N64" s="40"/>
      <c r="O64" s="40"/>
      <c r="P64" s="40"/>
      <c r="Q64" s="40"/>
      <c r="R64" s="40"/>
    </row>
    <row r="65" spans="1:18" s="72" customFormat="1" ht="14.25" customHeight="1" x14ac:dyDescent="0.3">
      <c r="A65" s="95" t="s">
        <v>160</v>
      </c>
      <c r="B65" s="97">
        <f>B59</f>
        <v>2.6686686859918506E-2</v>
      </c>
      <c r="C65" s="40" t="s">
        <v>92</v>
      </c>
      <c r="D65" s="76"/>
      <c r="E65" s="40"/>
      <c r="F65" s="40"/>
      <c r="G65" s="40"/>
      <c r="H65" s="40"/>
      <c r="I65" s="40"/>
      <c r="J65" s="89"/>
      <c r="K65" s="40"/>
      <c r="L65" s="40"/>
      <c r="M65" s="40"/>
      <c r="N65" s="40"/>
      <c r="O65" s="40"/>
      <c r="P65" s="40"/>
      <c r="Q65" s="40"/>
      <c r="R65" s="40"/>
    </row>
    <row r="66" spans="1:18" s="142" customFormat="1" x14ac:dyDescent="0.2">
      <c r="A66" s="140"/>
      <c r="B66" s="141"/>
      <c r="C66" s="15"/>
      <c r="D66" s="140"/>
      <c r="E66" s="140"/>
      <c r="F66" s="140"/>
      <c r="G66" s="140"/>
      <c r="H66" s="140"/>
      <c r="I66" s="140"/>
      <c r="J66" s="140"/>
      <c r="K66" s="140"/>
      <c r="L66" s="140"/>
      <c r="M66" s="140"/>
      <c r="N66" s="140"/>
      <c r="O66" s="140"/>
      <c r="P66" s="140"/>
      <c r="Q66" s="140"/>
      <c r="R66" s="140"/>
    </row>
    <row r="67" spans="1:18" s="72" customFormat="1" ht="14.25" customHeight="1" x14ac:dyDescent="0.3">
      <c r="A67" s="95"/>
      <c r="B67" s="92"/>
      <c r="C67" s="40"/>
      <c r="D67" s="76"/>
      <c r="E67" s="40"/>
      <c r="F67" s="40"/>
      <c r="G67" s="40"/>
      <c r="H67" s="40"/>
      <c r="I67" s="40"/>
      <c r="J67" s="89"/>
      <c r="K67" s="40"/>
      <c r="L67" s="40"/>
      <c r="M67" s="40"/>
      <c r="N67" s="40"/>
      <c r="O67" s="40"/>
      <c r="P67" s="40"/>
      <c r="Q67" s="40"/>
      <c r="R67" s="40"/>
    </row>
    <row r="68" spans="1:18" s="72" customFormat="1" ht="14.25" customHeight="1" x14ac:dyDescent="0.3">
      <c r="A68" s="95"/>
      <c r="B68" s="92"/>
      <c r="C68" s="40"/>
      <c r="D68" s="76"/>
      <c r="E68" s="40"/>
      <c r="F68" s="40"/>
      <c r="G68" s="40"/>
      <c r="H68" s="40"/>
      <c r="I68" s="40"/>
      <c r="J68" s="89"/>
      <c r="K68" s="40"/>
      <c r="L68" s="40"/>
      <c r="M68" s="40"/>
      <c r="N68" s="40"/>
      <c r="O68" s="40"/>
      <c r="P68" s="40"/>
      <c r="Q68" s="40"/>
      <c r="R68" s="40"/>
    </row>
    <row r="69" spans="1:18" s="72" customFormat="1" ht="14.25" customHeight="1" x14ac:dyDescent="0.3">
      <c r="A69" s="40"/>
      <c r="B69" s="74"/>
      <c r="C69" s="40"/>
      <c r="D69" s="40"/>
      <c r="E69" s="40"/>
      <c r="F69" s="40"/>
      <c r="G69" s="40"/>
      <c r="H69" s="40"/>
      <c r="I69" s="40"/>
      <c r="J69" s="89"/>
      <c r="K69" s="40"/>
      <c r="L69" s="40"/>
      <c r="M69" s="40"/>
      <c r="N69" s="40"/>
      <c r="O69" s="40"/>
      <c r="P69" s="40"/>
      <c r="Q69" s="40"/>
      <c r="R69" s="40"/>
    </row>
    <row r="70" spans="1:18" s="48" customFormat="1" ht="14.25" customHeight="1" x14ac:dyDescent="0.3">
      <c r="A70" s="46" t="s">
        <v>161</v>
      </c>
      <c r="B70" s="46"/>
      <c r="C70" s="46"/>
      <c r="D70" s="46"/>
      <c r="E70" s="46"/>
      <c r="F70" s="46"/>
      <c r="G70" s="46"/>
      <c r="H70" s="46"/>
      <c r="I70" s="46"/>
      <c r="J70" s="46"/>
      <c r="K70" s="46"/>
    </row>
    <row r="71" spans="1:18" s="95" customFormat="1" ht="14.25" customHeight="1" x14ac:dyDescent="0.3">
      <c r="A71" s="166" t="s">
        <v>1</v>
      </c>
      <c r="B71" s="167"/>
      <c r="C71" s="167"/>
      <c r="D71" s="167"/>
      <c r="E71" s="167"/>
      <c r="F71" s="167"/>
      <c r="G71" s="167"/>
      <c r="H71" s="167"/>
      <c r="I71" s="167"/>
      <c r="J71" s="167"/>
      <c r="K71" s="167"/>
      <c r="L71" s="167"/>
      <c r="M71" s="167"/>
      <c r="N71" s="167"/>
      <c r="O71" s="169"/>
      <c r="P71" s="169"/>
      <c r="Q71" s="169"/>
      <c r="R71" s="169"/>
    </row>
    <row r="72" spans="1:18" s="14" customFormat="1" ht="14.25" customHeight="1" x14ac:dyDescent="0.3">
      <c r="A72" s="11"/>
      <c r="B72" s="12"/>
      <c r="C72" s="11"/>
      <c r="D72" s="11"/>
      <c r="E72" s="11"/>
      <c r="F72" s="11"/>
      <c r="G72" s="11"/>
      <c r="H72" s="11"/>
      <c r="I72" s="11"/>
      <c r="J72" s="11"/>
      <c r="K72" s="11"/>
      <c r="L72" s="11"/>
      <c r="M72" s="11"/>
      <c r="N72" s="11"/>
      <c r="O72" s="11"/>
      <c r="P72" s="11"/>
      <c r="Q72" s="11"/>
      <c r="R72" s="11"/>
    </row>
    <row r="73" spans="1:18" s="119" customFormat="1" ht="14.25" customHeight="1" x14ac:dyDescent="0.3">
      <c r="A73" s="120" t="s">
        <v>162</v>
      </c>
      <c r="B73" s="120"/>
      <c r="C73" s="121">
        <v>0</v>
      </c>
      <c r="D73" s="121">
        <v>1</v>
      </c>
      <c r="E73" s="121">
        <v>2</v>
      </c>
      <c r="F73" s="121">
        <v>3</v>
      </c>
      <c r="G73" s="121">
        <v>4</v>
      </c>
      <c r="H73" s="121">
        <v>5</v>
      </c>
      <c r="I73" s="121">
        <v>6</v>
      </c>
      <c r="J73" s="121">
        <v>7</v>
      </c>
      <c r="K73" s="121">
        <v>8</v>
      </c>
      <c r="L73" s="121">
        <v>9</v>
      </c>
      <c r="M73" s="121">
        <v>10</v>
      </c>
      <c r="N73" s="121">
        <v>11</v>
      </c>
      <c r="O73" s="121">
        <v>12</v>
      </c>
      <c r="P73" s="121">
        <v>13</v>
      </c>
      <c r="Q73" s="121">
        <v>14</v>
      </c>
      <c r="R73" s="121">
        <v>15</v>
      </c>
    </row>
    <row r="74" spans="1:18" s="133" customFormat="1" ht="14.25" customHeight="1" x14ac:dyDescent="0.3">
      <c r="A74" s="154" t="s">
        <v>163</v>
      </c>
      <c r="B74" s="123"/>
      <c r="C74" s="124"/>
      <c r="D74" s="125">
        <f t="shared" ref="D74:R74" si="1">POWER(1+$B$39,D73-$D$73)</f>
        <v>1</v>
      </c>
      <c r="E74" s="125">
        <f t="shared" si="1"/>
        <v>1.02</v>
      </c>
      <c r="F74" s="125">
        <f t="shared" si="1"/>
        <v>1.0404</v>
      </c>
      <c r="G74" s="125">
        <f t="shared" si="1"/>
        <v>1.0612079999999999</v>
      </c>
      <c r="H74" s="125">
        <f t="shared" si="1"/>
        <v>1.08243216</v>
      </c>
      <c r="I74" s="125">
        <f t="shared" si="1"/>
        <v>1.1040808032</v>
      </c>
      <c r="J74" s="125">
        <f t="shared" si="1"/>
        <v>1.1261624192640001</v>
      </c>
      <c r="K74" s="125">
        <f t="shared" si="1"/>
        <v>1.1486856676492798</v>
      </c>
      <c r="L74" s="125">
        <f t="shared" si="1"/>
        <v>1.1716593810022655</v>
      </c>
      <c r="M74" s="125">
        <f t="shared" si="1"/>
        <v>1.1950925686223108</v>
      </c>
      <c r="N74" s="125">
        <f t="shared" si="1"/>
        <v>1.2189944199947571</v>
      </c>
      <c r="O74" s="125">
        <f t="shared" si="1"/>
        <v>1.243374308394652</v>
      </c>
      <c r="P74" s="125">
        <f t="shared" si="1"/>
        <v>1.2682417945625453</v>
      </c>
      <c r="Q74" s="125">
        <f t="shared" si="1"/>
        <v>1.2936066304537961</v>
      </c>
      <c r="R74" s="125">
        <f t="shared" si="1"/>
        <v>1.3194787630628722</v>
      </c>
    </row>
    <row r="75" spans="1:18" s="133" customFormat="1" ht="14.25" customHeight="1" x14ac:dyDescent="0.3">
      <c r="A75" s="122"/>
      <c r="B75" s="123"/>
      <c r="C75" s="124"/>
      <c r="D75" s="125"/>
      <c r="E75" s="125"/>
      <c r="F75" s="125"/>
      <c r="G75" s="125"/>
      <c r="H75" s="125"/>
      <c r="I75" s="125"/>
      <c r="J75" s="125"/>
      <c r="K75" s="125"/>
      <c r="L75" s="125"/>
      <c r="M75" s="125"/>
      <c r="N75" s="125"/>
      <c r="O75" s="125"/>
      <c r="P75" s="125"/>
      <c r="Q75" s="125"/>
      <c r="R75" s="125"/>
    </row>
    <row r="76" spans="1:18" s="133" customFormat="1" ht="14.25" customHeight="1" x14ac:dyDescent="0.3">
      <c r="A76" s="126" t="s">
        <v>116</v>
      </c>
      <c r="B76" s="127"/>
      <c r="C76" s="127"/>
      <c r="D76" s="127"/>
      <c r="E76" s="127"/>
      <c r="F76" s="127"/>
      <c r="G76" s="127"/>
      <c r="H76" s="127"/>
      <c r="I76" s="127"/>
      <c r="J76" s="127"/>
      <c r="K76" s="127"/>
      <c r="L76" s="127"/>
      <c r="M76" s="127"/>
      <c r="N76" s="127"/>
      <c r="O76" s="127"/>
      <c r="P76" s="127"/>
      <c r="Q76" s="127"/>
      <c r="R76" s="127"/>
    </row>
    <row r="77" spans="1:18" s="133" customFormat="1" ht="14.25" customHeight="1" x14ac:dyDescent="0.3">
      <c r="A77" s="124" t="s">
        <v>164</v>
      </c>
      <c r="B77" s="123"/>
      <c r="C77" s="128">
        <f>-B22</f>
        <v>-8640000</v>
      </c>
      <c r="D77" s="124"/>
      <c r="E77" s="124"/>
      <c r="F77" s="124"/>
      <c r="G77" s="124"/>
      <c r="H77" s="124"/>
      <c r="I77" s="124"/>
      <c r="J77" s="124"/>
      <c r="K77" s="124"/>
      <c r="L77" s="124"/>
      <c r="M77" s="124"/>
      <c r="N77" s="128"/>
      <c r="O77" s="128"/>
      <c r="P77" s="124"/>
      <c r="Q77" s="124"/>
      <c r="R77" s="124"/>
    </row>
    <row r="78" spans="1:18" s="133" customFormat="1" ht="14.25" customHeight="1" x14ac:dyDescent="0.3">
      <c r="A78" s="124" t="s">
        <v>165</v>
      </c>
      <c r="B78" s="123"/>
      <c r="C78" s="128"/>
      <c r="D78" s="129">
        <f>-$B$25*D74</f>
        <v>-395328.37691592</v>
      </c>
      <c r="E78" s="129">
        <f>-$B$25*E74</f>
        <v>-403234.9444542384</v>
      </c>
      <c r="F78" s="129">
        <f t="shared" ref="F78:M78" si="2">-$B$25*F74</f>
        <v>-411299.64334332314</v>
      </c>
      <c r="G78" s="129">
        <f t="shared" si="2"/>
        <v>-419525.63621018961</v>
      </c>
      <c r="H78" s="129">
        <f t="shared" si="2"/>
        <v>-427916.14893439342</v>
      </c>
      <c r="I78" s="129">
        <f t="shared" si="2"/>
        <v>-436474.4719130813</v>
      </c>
      <c r="J78" s="129">
        <f t="shared" si="2"/>
        <v>-445203.96135134296</v>
      </c>
      <c r="K78" s="129">
        <f t="shared" si="2"/>
        <v>-454108.04057836969</v>
      </c>
      <c r="L78" s="129">
        <f t="shared" si="2"/>
        <v>-463190.20138993714</v>
      </c>
      <c r="M78" s="129">
        <f t="shared" si="2"/>
        <v>-472454.0054177359</v>
      </c>
      <c r="N78" s="129">
        <f>IF($B$37&gt;=N$73,-$B$25*N$74,0)</f>
        <v>0</v>
      </c>
      <c r="O78" s="129">
        <f>IF($B$37&gt;=O$73,-$B$25*O$74,0)</f>
        <v>0</v>
      </c>
      <c r="P78" s="129">
        <f>IF($B$37&gt;=P$73,-$B$25*P$74,0)</f>
        <v>0</v>
      </c>
      <c r="Q78" s="129">
        <f>IF($B$37&gt;=Q$73,-$B$25*Q$74,0)</f>
        <v>0</v>
      </c>
      <c r="R78" s="129">
        <f>IF($B$37&gt;=R$73,-$B$25*R$74,0)</f>
        <v>0</v>
      </c>
    </row>
    <row r="79" spans="1:18" s="133" customFormat="1" ht="14.25" customHeight="1" x14ac:dyDescent="0.3">
      <c r="A79" s="124" t="s">
        <v>166</v>
      </c>
      <c r="B79" s="123"/>
      <c r="C79" s="124"/>
      <c r="D79" s="128">
        <f>-($B$28*$B$18*1000)*D74</f>
        <v>-315947.49119958002</v>
      </c>
      <c r="E79" s="128">
        <f t="shared" ref="E79:M79" si="3">-($B$28*$B$18*1000)*E74</f>
        <v>-322266.44102357165</v>
      </c>
      <c r="F79" s="128">
        <f t="shared" si="3"/>
        <v>-328711.76984404307</v>
      </c>
      <c r="G79" s="128">
        <f t="shared" si="3"/>
        <v>-335286.0052409239</v>
      </c>
      <c r="H79" s="128">
        <f t="shared" si="3"/>
        <v>-341991.72534574236</v>
      </c>
      <c r="I79" s="128">
        <f t="shared" si="3"/>
        <v>-348831.55985265726</v>
      </c>
      <c r="J79" s="128">
        <f t="shared" si="3"/>
        <v>-355808.19104971038</v>
      </c>
      <c r="K79" s="128">
        <f t="shared" si="3"/>
        <v>-362924.35487070453</v>
      </c>
      <c r="L79" s="128">
        <f t="shared" si="3"/>
        <v>-370182.84196811868</v>
      </c>
      <c r="M79" s="128">
        <f t="shared" si="3"/>
        <v>-377586.49880748102</v>
      </c>
      <c r="N79" s="128">
        <f>IF($B$37&gt;=N$73,-($B$28*$B$18*1000)*N74,0)</f>
        <v>0</v>
      </c>
      <c r="O79" s="128">
        <f>IF($B$37&gt;=O$73,-($B$28*$B$18*1000)*O74,0)</f>
        <v>0</v>
      </c>
      <c r="P79" s="128">
        <f>IF($B$37&gt;=P$73,-($B$28*$B$18*1000)*P74,0)</f>
        <v>0</v>
      </c>
      <c r="Q79" s="128">
        <f>IF($B$37&gt;=Q$73,-($B$28*$B$18*1000)*Q74,0)</f>
        <v>0</v>
      </c>
      <c r="R79" s="128">
        <f>IF($B$37&gt;=R$73,-($B$28*$B$18*1000)*R74,0)</f>
        <v>0</v>
      </c>
    </row>
    <row r="80" spans="1:18" s="133" customFormat="1" ht="14.25" customHeight="1" x14ac:dyDescent="0.3">
      <c r="A80" s="126" t="s">
        <v>167</v>
      </c>
      <c r="B80" s="126"/>
      <c r="C80" s="126"/>
      <c r="D80" s="126"/>
      <c r="E80" s="126"/>
      <c r="F80" s="126"/>
      <c r="G80" s="126"/>
      <c r="H80" s="126"/>
      <c r="I80" s="126"/>
      <c r="J80" s="126"/>
      <c r="K80" s="126"/>
      <c r="L80" s="126"/>
      <c r="M80" s="126"/>
      <c r="N80" s="126"/>
      <c r="O80" s="126"/>
      <c r="P80" s="126"/>
      <c r="Q80" s="126"/>
      <c r="R80" s="126"/>
    </row>
    <row r="81" spans="1:18" s="133" customFormat="1" ht="14.25" customHeight="1" x14ac:dyDescent="0.3">
      <c r="A81" s="124" t="s">
        <v>168</v>
      </c>
      <c r="B81" s="123"/>
      <c r="C81" s="124"/>
      <c r="D81" s="128">
        <f>$C$77/$B$38</f>
        <v>-864000</v>
      </c>
      <c r="E81" s="128">
        <f t="shared" ref="E81:M81" si="4">$C$77/$B$38</f>
        <v>-864000</v>
      </c>
      <c r="F81" s="128">
        <f t="shared" si="4"/>
        <v>-864000</v>
      </c>
      <c r="G81" s="128">
        <f t="shared" si="4"/>
        <v>-864000</v>
      </c>
      <c r="H81" s="128">
        <f t="shared" si="4"/>
        <v>-864000</v>
      </c>
      <c r="I81" s="128">
        <f t="shared" si="4"/>
        <v>-864000</v>
      </c>
      <c r="J81" s="128">
        <f t="shared" si="4"/>
        <v>-864000</v>
      </c>
      <c r="K81" s="128">
        <f t="shared" si="4"/>
        <v>-864000</v>
      </c>
      <c r="L81" s="128">
        <f t="shared" si="4"/>
        <v>-864000</v>
      </c>
      <c r="M81" s="128">
        <f t="shared" si="4"/>
        <v>-864000</v>
      </c>
      <c r="N81" s="128"/>
      <c r="O81" s="128"/>
      <c r="P81" s="128"/>
      <c r="Q81" s="128"/>
      <c r="R81" s="128"/>
    </row>
    <row r="82" spans="1:18" s="133" customFormat="1" ht="14.25" customHeight="1" x14ac:dyDescent="0.3">
      <c r="A82" s="130" t="s">
        <v>169</v>
      </c>
      <c r="B82" s="123"/>
      <c r="C82" s="124"/>
      <c r="D82" s="128">
        <f>-IPMT($B$40,D73,$B$38,$B$42*$C$77)</f>
        <v>-289137.60000000009</v>
      </c>
      <c r="E82" s="128">
        <f t="shared" ref="E82:M82" si="5">-IPMT($B$40,E73,$B$38,$B$42*$C$77)</f>
        <v>-266942.45317254064</v>
      </c>
      <c r="F82" s="128">
        <f t="shared" si="5"/>
        <v>-243471.0854025023</v>
      </c>
      <c r="G82" s="128">
        <f t="shared" si="5"/>
        <v>-218650.1139856868</v>
      </c>
      <c r="H82" s="128">
        <f t="shared" si="5"/>
        <v>-192401.93671240436</v>
      </c>
      <c r="I82" s="128">
        <f t="shared" si="5"/>
        <v>-164644.48924590819</v>
      </c>
      <c r="J82" s="128">
        <f t="shared" si="5"/>
        <v>-135290.98855008846</v>
      </c>
      <c r="K82" s="128">
        <f t="shared" si="5"/>
        <v>-104249.66156425916</v>
      </c>
      <c r="L82" s="128">
        <f t="shared" si="5"/>
        <v>-71423.458276744626</v>
      </c>
      <c r="M82" s="128">
        <f t="shared" si="5"/>
        <v>-36709.748300198029</v>
      </c>
      <c r="N82" s="128"/>
      <c r="O82" s="128"/>
      <c r="P82" s="128"/>
      <c r="Q82" s="128"/>
      <c r="R82" s="128"/>
    </row>
    <row r="83" spans="1:18" s="133" customFormat="1" ht="14.25" customHeight="1" x14ac:dyDescent="0.3">
      <c r="A83" s="130" t="s">
        <v>170</v>
      </c>
      <c r="B83" s="123"/>
      <c r="C83" s="124"/>
      <c r="D83" s="128">
        <f>-PPMT($B$40,D73,$B$38,$B$42*$C$77)</f>
        <v>-386002.55352103332</v>
      </c>
      <c r="E83" s="128">
        <f t="shared" ref="E83:M83" si="6">-PPMT($B$40,E73,$B$38,$B$42*$C$77)</f>
        <v>-408197.70034849277</v>
      </c>
      <c r="F83" s="128">
        <f t="shared" si="6"/>
        <v>-431669.06811853108</v>
      </c>
      <c r="G83" s="128">
        <f t="shared" si="6"/>
        <v>-456490.03953534662</v>
      </c>
      <c r="H83" s="128">
        <f t="shared" si="6"/>
        <v>-482738.21680862905</v>
      </c>
      <c r="I83" s="128">
        <f t="shared" si="6"/>
        <v>-510495.66427512519</v>
      </c>
      <c r="J83" s="128">
        <f t="shared" si="6"/>
        <v>-539849.16497094487</v>
      </c>
      <c r="K83" s="128">
        <f t="shared" si="6"/>
        <v>-570890.49195677426</v>
      </c>
      <c r="L83" s="128">
        <f t="shared" si="6"/>
        <v>-603716.69524428877</v>
      </c>
      <c r="M83" s="128">
        <f t="shared" si="6"/>
        <v>-638430.40522083547</v>
      </c>
      <c r="N83" s="128"/>
      <c r="O83" s="128"/>
      <c r="P83" s="128"/>
      <c r="Q83" s="128"/>
      <c r="R83" s="128"/>
    </row>
    <row r="84" spans="1:18" s="134" customFormat="1" ht="14.25" customHeight="1" x14ac:dyDescent="0.3">
      <c r="A84" s="124" t="s">
        <v>171</v>
      </c>
      <c r="B84" s="131"/>
      <c r="C84" s="122"/>
      <c r="D84" s="128">
        <f>SUM(D82:D83)</f>
        <v>-675140.15352103347</v>
      </c>
      <c r="E84" s="128">
        <f t="shared" ref="E84:M84" si="7">SUM(E82:E83)</f>
        <v>-675140.15352103347</v>
      </c>
      <c r="F84" s="128">
        <f>SUM(F82:F83)</f>
        <v>-675140.15352103335</v>
      </c>
      <c r="G84" s="128">
        <f t="shared" si="7"/>
        <v>-675140.15352103347</v>
      </c>
      <c r="H84" s="128">
        <f t="shared" si="7"/>
        <v>-675140.15352103347</v>
      </c>
      <c r="I84" s="128">
        <f t="shared" si="7"/>
        <v>-675140.15352103335</v>
      </c>
      <c r="J84" s="128">
        <f t="shared" si="7"/>
        <v>-675140.15352103335</v>
      </c>
      <c r="K84" s="128">
        <f t="shared" si="7"/>
        <v>-675140.15352103347</v>
      </c>
      <c r="L84" s="128">
        <f t="shared" si="7"/>
        <v>-675140.15352103335</v>
      </c>
      <c r="M84" s="128">
        <f t="shared" si="7"/>
        <v>-675140.15352103347</v>
      </c>
      <c r="N84" s="128"/>
      <c r="O84" s="128"/>
      <c r="P84" s="128"/>
      <c r="Q84" s="128"/>
      <c r="R84" s="128"/>
    </row>
    <row r="85" spans="1:18" s="133" customFormat="1" ht="14.25" customHeight="1" x14ac:dyDescent="0.3">
      <c r="A85" s="126" t="s">
        <v>172</v>
      </c>
      <c r="B85" s="126"/>
      <c r="C85" s="126"/>
      <c r="D85" s="126"/>
      <c r="E85" s="126"/>
      <c r="F85" s="126"/>
      <c r="G85" s="126"/>
      <c r="H85" s="126"/>
      <c r="I85" s="126"/>
      <c r="J85" s="126"/>
      <c r="K85" s="126"/>
      <c r="L85" s="126"/>
      <c r="M85" s="126"/>
      <c r="N85" s="126"/>
      <c r="O85" s="126"/>
      <c r="P85" s="126"/>
      <c r="Q85" s="126"/>
      <c r="R85" s="126"/>
    </row>
    <row r="86" spans="1:18" s="133" customFormat="1" ht="14.25" customHeight="1" x14ac:dyDescent="0.3">
      <c r="A86" s="124" t="s">
        <v>173</v>
      </c>
      <c r="B86" s="123"/>
      <c r="C86" s="124"/>
      <c r="D86" s="128">
        <f>D78+D79+D81+D82</f>
        <v>-1864413.4681155002</v>
      </c>
      <c r="E86" s="128">
        <f t="shared" ref="E86:L86" si="8">E78+E79+E81+E82</f>
        <v>-1856443.8386503509</v>
      </c>
      <c r="F86" s="128">
        <f t="shared" si="8"/>
        <v>-1847482.4985898684</v>
      </c>
      <c r="G86" s="128">
        <f t="shared" si="8"/>
        <v>-1837461.7554368002</v>
      </c>
      <c r="H86" s="128">
        <f t="shared" si="8"/>
        <v>-1826309.8109925403</v>
      </c>
      <c r="I86" s="128">
        <f t="shared" si="8"/>
        <v>-1813950.5210116466</v>
      </c>
      <c r="J86" s="128">
        <f t="shared" si="8"/>
        <v>-1800303.1409511417</v>
      </c>
      <c r="K86" s="128">
        <f t="shared" si="8"/>
        <v>-1785282.0570133333</v>
      </c>
      <c r="L86" s="128">
        <f t="shared" si="8"/>
        <v>-1768796.5016348006</v>
      </c>
      <c r="M86" s="128">
        <f>M78+M79+M81+M82</f>
        <v>-1750750.2525254148</v>
      </c>
      <c r="N86" s="128">
        <f>N78+N79+N81+N82</f>
        <v>0</v>
      </c>
      <c r="O86" s="128">
        <f t="shared" ref="O86:P86" si="9">O78+O79+O81+O82</f>
        <v>0</v>
      </c>
      <c r="P86" s="128">
        <f t="shared" si="9"/>
        <v>0</v>
      </c>
      <c r="Q86" s="128">
        <f>Q78+Q79+Q81+Q82</f>
        <v>0</v>
      </c>
      <c r="R86" s="128">
        <f>R78+R79+R81+R82</f>
        <v>0</v>
      </c>
    </row>
    <row r="87" spans="1:18" s="133" customFormat="1" ht="14.25" customHeight="1" x14ac:dyDescent="0.3">
      <c r="A87" s="124" t="s">
        <v>172</v>
      </c>
      <c r="B87" s="123"/>
      <c r="C87" s="124"/>
      <c r="D87" s="128">
        <f>-D86*$B$44</f>
        <v>466103.36702887504</v>
      </c>
      <c r="E87" s="128">
        <f t="shared" ref="E87:R87" si="10">-E86*$B$44</f>
        <v>464110.95966258773</v>
      </c>
      <c r="F87" s="128">
        <f t="shared" si="10"/>
        <v>461870.62464746711</v>
      </c>
      <c r="G87" s="128">
        <f t="shared" si="10"/>
        <v>459365.43885920005</v>
      </c>
      <c r="H87" s="128">
        <f t="shared" si="10"/>
        <v>456577.45274813508</v>
      </c>
      <c r="I87" s="128">
        <f t="shared" si="10"/>
        <v>453487.63025291165</v>
      </c>
      <c r="J87" s="128">
        <f t="shared" si="10"/>
        <v>450075.78523778543</v>
      </c>
      <c r="K87" s="128">
        <f t="shared" si="10"/>
        <v>446320.51425333333</v>
      </c>
      <c r="L87" s="128">
        <f t="shared" si="10"/>
        <v>442199.12540870014</v>
      </c>
      <c r="M87" s="128">
        <f t="shared" si="10"/>
        <v>437687.5631313537</v>
      </c>
      <c r="N87" s="128">
        <f t="shared" si="10"/>
        <v>0</v>
      </c>
      <c r="O87" s="128">
        <f t="shared" si="10"/>
        <v>0</v>
      </c>
      <c r="P87" s="128">
        <f t="shared" si="10"/>
        <v>0</v>
      </c>
      <c r="Q87" s="128">
        <f t="shared" si="10"/>
        <v>0</v>
      </c>
      <c r="R87" s="128">
        <f t="shared" si="10"/>
        <v>0</v>
      </c>
    </row>
    <row r="88" spans="1:18" s="133" customFormat="1" ht="14.25" customHeight="1" x14ac:dyDescent="0.3">
      <c r="A88" s="126" t="s">
        <v>174</v>
      </c>
      <c r="B88" s="126"/>
      <c r="C88" s="126"/>
      <c r="D88" s="126"/>
      <c r="E88" s="126"/>
      <c r="F88" s="126"/>
      <c r="G88" s="126"/>
      <c r="H88" s="126"/>
      <c r="I88" s="126"/>
      <c r="J88" s="126"/>
      <c r="K88" s="126"/>
      <c r="L88" s="126"/>
      <c r="M88" s="126"/>
      <c r="N88" s="126"/>
      <c r="O88" s="126"/>
      <c r="P88" s="126"/>
      <c r="Q88" s="126"/>
      <c r="R88" s="126"/>
    </row>
    <row r="89" spans="1:18" s="133" customFormat="1" ht="14.25" customHeight="1" x14ac:dyDescent="0.3">
      <c r="A89" s="124" t="s">
        <v>175</v>
      </c>
      <c r="B89" s="123"/>
      <c r="C89" s="128">
        <f>C77*B43</f>
        <v>-3611520</v>
      </c>
      <c r="D89" s="128">
        <f>D78+D79+D84+D87</f>
        <v>-920312.65460765851</v>
      </c>
      <c r="E89" s="128">
        <f t="shared" ref="E89:L89" si="11">E78+E79+E84+E87</f>
        <v>-936530.57933625591</v>
      </c>
      <c r="F89" s="128">
        <f t="shared" si="11"/>
        <v>-953280.94206093228</v>
      </c>
      <c r="G89" s="128">
        <f t="shared" si="11"/>
        <v>-970586.35611294676</v>
      </c>
      <c r="H89" s="128">
        <f t="shared" si="11"/>
        <v>-988470.57505303423</v>
      </c>
      <c r="I89" s="128">
        <f t="shared" si="11"/>
        <v>-1006958.5550338603</v>
      </c>
      <c r="J89" s="128">
        <f t="shared" si="11"/>
        <v>-1026076.5206843014</v>
      </c>
      <c r="K89" s="128">
        <f t="shared" si="11"/>
        <v>-1045852.0347167744</v>
      </c>
      <c r="L89" s="128">
        <f t="shared" si="11"/>
        <v>-1066314.0714703891</v>
      </c>
      <c r="M89" s="128">
        <f>M78+M79+M84+M87</f>
        <v>-1087493.0946148965</v>
      </c>
      <c r="N89" s="128">
        <f t="shared" ref="N89:R89" si="12">N78+N79+N84+N87</f>
        <v>0</v>
      </c>
      <c r="O89" s="128">
        <f t="shared" si="12"/>
        <v>0</v>
      </c>
      <c r="P89" s="128">
        <f t="shared" si="12"/>
        <v>0</v>
      </c>
      <c r="Q89" s="128">
        <f t="shared" si="12"/>
        <v>0</v>
      </c>
      <c r="R89" s="128">
        <f t="shared" si="12"/>
        <v>0</v>
      </c>
    </row>
    <row r="90" spans="1:18" s="133" customFormat="1" ht="14.25" customHeight="1" x14ac:dyDescent="0.3">
      <c r="A90" s="132" t="s">
        <v>176</v>
      </c>
      <c r="B90" s="123"/>
      <c r="C90" s="124"/>
      <c r="D90" s="128">
        <f t="shared" ref="D90:M90" si="13">(1-$B$44)*($B$15*$B$17)</f>
        <v>16875000</v>
      </c>
      <c r="E90" s="128">
        <f t="shared" si="13"/>
        <v>16875000</v>
      </c>
      <c r="F90" s="128">
        <f t="shared" si="13"/>
        <v>16875000</v>
      </c>
      <c r="G90" s="128">
        <f t="shared" si="13"/>
        <v>16875000</v>
      </c>
      <c r="H90" s="128">
        <f t="shared" si="13"/>
        <v>16875000</v>
      </c>
      <c r="I90" s="128">
        <f t="shared" si="13"/>
        <v>16875000</v>
      </c>
      <c r="J90" s="128">
        <f t="shared" si="13"/>
        <v>16875000</v>
      </c>
      <c r="K90" s="128">
        <f t="shared" si="13"/>
        <v>16875000</v>
      </c>
      <c r="L90" s="128">
        <f t="shared" si="13"/>
        <v>16875000</v>
      </c>
      <c r="M90" s="128">
        <f t="shared" si="13"/>
        <v>16875000</v>
      </c>
      <c r="N90" s="128">
        <f>IF($B$37&gt;=N$73,(1-$B$44)*($B$15*$B$17),0)</f>
        <v>0</v>
      </c>
      <c r="O90" s="128">
        <f>IF($B$37&gt;=O$73,(1-$B$44)*($B$15*$B$17),0)</f>
        <v>0</v>
      </c>
      <c r="P90" s="128">
        <f>IF($B$37&gt;=P$73,(1-$B$44)*($B$15*$B$17),0)</f>
        <v>0</v>
      </c>
      <c r="Q90" s="128">
        <f>IF($B$37&gt;=Q$73,(1-$B$44)*($B$15*$B$17),0)</f>
        <v>0</v>
      </c>
      <c r="R90" s="128">
        <f>IF($B$37&gt;=R$73,(1-$B$44)*($B$15*$B$17),0)</f>
        <v>0</v>
      </c>
    </row>
    <row r="91" spans="1:18" s="133" customFormat="1" ht="14.25" customHeight="1" x14ac:dyDescent="0.3">
      <c r="A91" s="124"/>
      <c r="B91" s="123"/>
      <c r="C91" s="124"/>
      <c r="D91" s="128"/>
      <c r="E91" s="128"/>
      <c r="F91" s="128"/>
      <c r="G91" s="128"/>
      <c r="H91" s="128"/>
      <c r="I91" s="128"/>
      <c r="J91" s="128"/>
      <c r="K91" s="128"/>
      <c r="L91" s="128"/>
      <c r="M91" s="128"/>
      <c r="N91" s="128"/>
      <c r="O91" s="128"/>
      <c r="P91" s="124"/>
      <c r="Q91" s="124"/>
      <c r="R91" s="124"/>
    </row>
    <row r="92" spans="1:18" s="133" customFormat="1" ht="14.25" customHeight="1" x14ac:dyDescent="0.3">
      <c r="A92" s="124"/>
      <c r="B92" s="123"/>
      <c r="C92" s="124"/>
      <c r="D92" s="128"/>
      <c r="E92" s="128"/>
      <c r="F92" s="128"/>
      <c r="G92" s="128"/>
      <c r="H92" s="128"/>
      <c r="I92" s="128"/>
      <c r="J92" s="128"/>
      <c r="K92" s="128"/>
      <c r="L92" s="128"/>
      <c r="M92" s="128"/>
      <c r="N92" s="128"/>
      <c r="O92" s="128"/>
      <c r="P92" s="124"/>
      <c r="Q92" s="124"/>
      <c r="R92" s="124"/>
    </row>
    <row r="93" spans="1:18" s="133" customFormat="1" ht="14.25" customHeight="1" x14ac:dyDescent="0.3">
      <c r="A93" s="124"/>
      <c r="B93" s="123"/>
      <c r="C93" s="124"/>
      <c r="D93" s="124"/>
      <c r="E93" s="124"/>
      <c r="F93" s="124"/>
      <c r="G93" s="124"/>
      <c r="H93" s="124"/>
      <c r="I93" s="124"/>
      <c r="J93" s="124"/>
      <c r="K93" s="124"/>
      <c r="L93" s="124"/>
      <c r="M93" s="124"/>
      <c r="N93" s="124"/>
      <c r="O93" s="124"/>
      <c r="P93" s="124"/>
      <c r="Q93" s="124"/>
      <c r="R93" s="124"/>
    </row>
    <row r="94" spans="1:18" s="133" customFormat="1" ht="5.0999999999999996" customHeight="1" x14ac:dyDescent="0.3">
      <c r="B94" s="135"/>
    </row>
    <row r="95" spans="1:18" s="133" customFormat="1" ht="14.25" customHeight="1" x14ac:dyDescent="0.3">
      <c r="B95" s="136" t="s">
        <v>12</v>
      </c>
      <c r="C95" s="137" t="s">
        <v>13</v>
      </c>
    </row>
    <row r="96" spans="1:18" s="133" customFormat="1" ht="14.25" customHeight="1" x14ac:dyDescent="0.3">
      <c r="A96" s="134" t="s">
        <v>177</v>
      </c>
      <c r="B96" s="138">
        <f>ROUND(((-C89-NPV(B41,D89:R89))/NPV(B41,D90:R90)),4)</f>
        <v>9.6100000000000005E-2</v>
      </c>
      <c r="C96" s="133" t="s">
        <v>178</v>
      </c>
    </row>
    <row r="97" spans="1:18" s="133" customFormat="1" ht="14.25" customHeight="1" x14ac:dyDescent="0.3">
      <c r="A97" s="120" t="s">
        <v>77</v>
      </c>
      <c r="B97" s="143">
        <f>B96/B34*1000</f>
        <v>469.0550566185085</v>
      </c>
      <c r="C97" s="120" t="s">
        <v>179</v>
      </c>
    </row>
    <row r="98" spans="1:18" s="133" customFormat="1" ht="5.0999999999999996" customHeight="1" x14ac:dyDescent="0.3">
      <c r="A98" s="134"/>
      <c r="B98" s="139"/>
    </row>
    <row r="99" spans="1:18" s="142" customFormat="1" x14ac:dyDescent="0.2">
      <c r="A99" s="140"/>
      <c r="B99" s="141"/>
      <c r="C99" s="140"/>
      <c r="D99" s="140"/>
      <c r="E99" s="140"/>
      <c r="F99" s="140"/>
      <c r="G99" s="140"/>
      <c r="H99" s="140"/>
      <c r="I99" s="140"/>
      <c r="J99" s="140"/>
      <c r="K99" s="140"/>
      <c r="L99" s="140"/>
      <c r="M99" s="140"/>
      <c r="N99" s="140"/>
      <c r="O99" s="140"/>
      <c r="P99" s="140"/>
      <c r="Q99" s="140"/>
      <c r="R99" s="140"/>
    </row>
    <row r="100" spans="1:18" s="72" customFormat="1" ht="14.25" customHeight="1" x14ac:dyDescent="0.3">
      <c r="A100" s="95" t="s">
        <v>158</v>
      </c>
      <c r="B100" s="96">
        <f>B55+B56</f>
        <v>233.79718303357333</v>
      </c>
      <c r="C100" s="40" t="s">
        <v>91</v>
      </c>
      <c r="D100" s="76"/>
      <c r="E100" s="40"/>
      <c r="F100" s="40"/>
      <c r="G100" s="40"/>
      <c r="H100" s="40"/>
      <c r="I100" s="40"/>
      <c r="J100" s="89"/>
      <c r="K100" s="40"/>
      <c r="L100" s="40"/>
      <c r="M100" s="40"/>
      <c r="N100" s="40"/>
      <c r="O100" s="40"/>
      <c r="P100" s="40"/>
      <c r="Q100" s="40"/>
      <c r="R100" s="40"/>
    </row>
    <row r="101" spans="1:18" s="72" customFormat="1" ht="14.25" customHeight="1" x14ac:dyDescent="0.3">
      <c r="A101" s="95" t="s">
        <v>159</v>
      </c>
      <c r="B101" s="96">
        <f>B55+B57</f>
        <v>173.94040833618951</v>
      </c>
      <c r="C101" s="40" t="s">
        <v>91</v>
      </c>
      <c r="D101" s="76"/>
      <c r="E101" s="40"/>
      <c r="F101" s="40"/>
      <c r="G101" s="40"/>
      <c r="H101" s="40"/>
      <c r="I101" s="40"/>
      <c r="J101" s="89"/>
      <c r="K101" s="40"/>
      <c r="L101" s="40"/>
      <c r="M101" s="40"/>
      <c r="N101" s="40"/>
      <c r="O101" s="40"/>
      <c r="P101" s="40"/>
      <c r="Q101" s="40"/>
      <c r="R101" s="40"/>
    </row>
    <row r="102" spans="1:18" s="72" customFormat="1" ht="14.25" customHeight="1" x14ac:dyDescent="0.3">
      <c r="A102" s="95" t="s">
        <v>160</v>
      </c>
      <c r="B102" s="96">
        <f>B55</f>
        <v>130.25520724286659</v>
      </c>
      <c r="C102" s="40" t="s">
        <v>91</v>
      </c>
      <c r="D102" s="76"/>
      <c r="E102" s="40"/>
      <c r="F102" s="40"/>
      <c r="G102" s="40"/>
      <c r="H102" s="40"/>
      <c r="I102" s="40"/>
      <c r="J102" s="89"/>
      <c r="K102" s="40"/>
      <c r="L102" s="40"/>
      <c r="M102" s="40"/>
      <c r="N102" s="40"/>
      <c r="O102" s="40"/>
      <c r="P102" s="40"/>
      <c r="Q102" s="40"/>
      <c r="R102" s="40"/>
    </row>
    <row r="103" spans="1:18" s="72" customFormat="1" ht="14.25" customHeight="1" x14ac:dyDescent="0.3">
      <c r="A103" s="95"/>
      <c r="B103" s="96"/>
      <c r="C103" s="40"/>
      <c r="D103" s="76"/>
      <c r="E103" s="40"/>
      <c r="F103" s="40"/>
      <c r="G103" s="40"/>
      <c r="H103" s="40"/>
      <c r="I103" s="40"/>
      <c r="J103" s="89"/>
      <c r="K103" s="40"/>
      <c r="L103" s="40"/>
      <c r="M103" s="40"/>
      <c r="N103" s="40"/>
      <c r="O103" s="40"/>
      <c r="P103" s="40"/>
      <c r="Q103" s="40"/>
      <c r="R103" s="40"/>
    </row>
    <row r="104" spans="1:18" s="142" customFormat="1" x14ac:dyDescent="0.2">
      <c r="A104" s="140"/>
      <c r="B104" s="141"/>
      <c r="C104" s="140"/>
      <c r="D104" s="140"/>
      <c r="E104" s="140"/>
      <c r="F104" s="140"/>
      <c r="G104" s="140"/>
      <c r="H104" s="140"/>
      <c r="I104" s="140"/>
      <c r="J104" s="140"/>
      <c r="K104" s="140"/>
      <c r="L104" s="140"/>
      <c r="M104" s="140"/>
      <c r="N104" s="140"/>
      <c r="O104" s="140"/>
      <c r="P104" s="140"/>
      <c r="Q104" s="140"/>
      <c r="R104" s="140"/>
    </row>
    <row r="105" spans="1:18" x14ac:dyDescent="0.2">
      <c r="A105" s="7"/>
      <c r="C105" s="5"/>
      <c r="D105" s="5"/>
      <c r="E105" s="5"/>
      <c r="F105" s="5"/>
      <c r="G105" s="5"/>
      <c r="H105" s="5"/>
      <c r="I105" s="5"/>
      <c r="J105" s="5"/>
    </row>
    <row r="106" spans="1:18" x14ac:dyDescent="0.2">
      <c r="C106" s="5"/>
      <c r="D106" s="5"/>
      <c r="E106" s="5"/>
      <c r="F106" s="5"/>
      <c r="G106" s="5"/>
      <c r="H106" s="5"/>
      <c r="I106" s="5"/>
      <c r="J106" s="5"/>
    </row>
    <row r="107" spans="1:18" x14ac:dyDescent="0.2">
      <c r="C107" s="5"/>
      <c r="D107" s="5"/>
      <c r="E107" s="5"/>
      <c r="F107" s="5"/>
      <c r="G107" s="5"/>
      <c r="H107" s="5"/>
      <c r="I107" s="5"/>
      <c r="J107" s="5"/>
    </row>
    <row r="108" spans="1:18" x14ac:dyDescent="0.2">
      <c r="C108" s="5"/>
      <c r="D108" s="5"/>
      <c r="E108" s="5"/>
      <c r="F108" s="5"/>
      <c r="G108" s="5"/>
      <c r="H108" s="5"/>
      <c r="I108" s="5"/>
      <c r="J108" s="5"/>
    </row>
    <row r="109" spans="1:18" x14ac:dyDescent="0.2">
      <c r="C109" s="5"/>
      <c r="D109" s="5"/>
      <c r="E109" s="5"/>
      <c r="F109" s="5"/>
      <c r="G109" s="5"/>
      <c r="H109" s="5"/>
      <c r="I109" s="5"/>
      <c r="J109" s="5"/>
    </row>
    <row r="110" spans="1:18" x14ac:dyDescent="0.2">
      <c r="C110" s="5"/>
      <c r="D110" s="5"/>
      <c r="E110" s="5"/>
      <c r="F110" s="5"/>
      <c r="G110" s="5"/>
      <c r="H110" s="5"/>
      <c r="I110" s="5"/>
      <c r="J110" s="5"/>
    </row>
    <row r="111" spans="1:18" x14ac:dyDescent="0.2">
      <c r="C111" s="5"/>
      <c r="D111" s="5"/>
      <c r="E111" s="5"/>
      <c r="F111" s="5"/>
      <c r="G111" s="5"/>
      <c r="H111" s="5"/>
      <c r="I111" s="5"/>
      <c r="J111" s="5"/>
    </row>
    <row r="112" spans="1:18" x14ac:dyDescent="0.2">
      <c r="C112" s="5"/>
      <c r="D112" s="5"/>
      <c r="E112" s="5"/>
      <c r="F112" s="5"/>
      <c r="G112" s="5"/>
      <c r="H112" s="5"/>
      <c r="I112" s="5"/>
      <c r="J112" s="5"/>
    </row>
    <row r="113" spans="1:10" x14ac:dyDescent="0.2">
      <c r="C113" s="5"/>
      <c r="D113" s="5"/>
      <c r="E113" s="5"/>
      <c r="F113" s="5"/>
      <c r="G113" s="5"/>
      <c r="H113" s="5"/>
      <c r="I113" s="5"/>
      <c r="J113" s="5"/>
    </row>
    <row r="116" spans="1:10" x14ac:dyDescent="0.2">
      <c r="A116" s="7"/>
      <c r="B116" s="4"/>
    </row>
    <row r="117" spans="1:10" x14ac:dyDescent="0.2">
      <c r="A117" s="7"/>
      <c r="C117" s="5"/>
      <c r="D117" s="5"/>
      <c r="E117" s="5"/>
      <c r="F117" s="5"/>
      <c r="G117" s="5"/>
      <c r="H117" s="5"/>
      <c r="I117" s="5"/>
      <c r="J117" s="5"/>
    </row>
    <row r="118" spans="1:10" x14ac:dyDescent="0.2">
      <c r="C118" s="5"/>
      <c r="D118" s="5"/>
      <c r="E118" s="5"/>
      <c r="F118" s="5"/>
      <c r="G118" s="5"/>
      <c r="H118" s="5"/>
      <c r="I118" s="5"/>
      <c r="J118" s="5"/>
    </row>
    <row r="119" spans="1:10" x14ac:dyDescent="0.2">
      <c r="C119" s="5"/>
      <c r="D119" s="5"/>
      <c r="E119" s="5"/>
      <c r="F119" s="5"/>
      <c r="G119" s="5"/>
      <c r="H119" s="5"/>
      <c r="I119" s="5"/>
      <c r="J119" s="5"/>
    </row>
    <row r="120" spans="1:10" x14ac:dyDescent="0.2">
      <c r="C120" s="5"/>
      <c r="D120" s="5"/>
      <c r="E120" s="5"/>
      <c r="F120" s="5"/>
      <c r="G120" s="5"/>
      <c r="H120" s="5"/>
      <c r="I120" s="5"/>
      <c r="J120" s="5"/>
    </row>
    <row r="121" spans="1:10" x14ac:dyDescent="0.2">
      <c r="C121" s="5"/>
      <c r="D121" s="5"/>
      <c r="E121" s="5"/>
      <c r="F121" s="5"/>
      <c r="G121" s="5"/>
      <c r="H121" s="5"/>
      <c r="I121" s="5"/>
      <c r="J121" s="5"/>
    </row>
    <row r="122" spans="1:10" x14ac:dyDescent="0.2">
      <c r="C122" s="5"/>
      <c r="D122" s="5"/>
      <c r="E122" s="5"/>
      <c r="F122" s="5"/>
      <c r="G122" s="5"/>
      <c r="H122" s="5"/>
      <c r="I122" s="5"/>
      <c r="J122" s="5"/>
    </row>
    <row r="123" spans="1:10" x14ac:dyDescent="0.2">
      <c r="C123" s="5"/>
      <c r="D123" s="5"/>
      <c r="E123" s="5"/>
      <c r="F123" s="5"/>
      <c r="G123" s="5"/>
      <c r="H123" s="5"/>
      <c r="I123" s="5"/>
      <c r="J123" s="5"/>
    </row>
    <row r="124" spans="1:10" x14ac:dyDescent="0.2">
      <c r="C124" s="5"/>
      <c r="D124" s="5"/>
      <c r="E124" s="5"/>
      <c r="F124" s="5"/>
      <c r="G124" s="5"/>
      <c r="H124" s="5"/>
      <c r="I124" s="5"/>
      <c r="J124" s="5"/>
    </row>
    <row r="128" spans="1:10" x14ac:dyDescent="0.2">
      <c r="B128" s="4"/>
    </row>
    <row r="129" spans="1:10" x14ac:dyDescent="0.2">
      <c r="A129" s="7"/>
      <c r="C129" s="9"/>
      <c r="D129" s="9"/>
      <c r="E129" s="9"/>
      <c r="F129" s="9"/>
      <c r="G129" s="9"/>
      <c r="H129" s="9"/>
    </row>
    <row r="130" spans="1:10" x14ac:dyDescent="0.2">
      <c r="C130" s="9"/>
      <c r="D130" s="9"/>
      <c r="E130" s="9"/>
      <c r="F130" s="9"/>
      <c r="G130" s="9"/>
      <c r="H130" s="9"/>
    </row>
    <row r="131" spans="1:10" x14ac:dyDescent="0.2">
      <c r="C131" s="9"/>
      <c r="D131" s="9"/>
      <c r="E131" s="9"/>
      <c r="F131" s="9"/>
      <c r="G131" s="9"/>
      <c r="H131" s="9"/>
    </row>
    <row r="132" spans="1:10" x14ac:dyDescent="0.2">
      <c r="C132" s="9"/>
      <c r="D132" s="9"/>
      <c r="E132" s="9"/>
      <c r="F132" s="9"/>
      <c r="G132" s="9"/>
      <c r="H132" s="9"/>
    </row>
    <row r="133" spans="1:10" x14ac:dyDescent="0.2">
      <c r="C133" s="9"/>
      <c r="D133" s="9"/>
      <c r="E133" s="9"/>
      <c r="F133" s="9"/>
      <c r="G133" s="9"/>
      <c r="H133" s="9"/>
    </row>
    <row r="134" spans="1:10" x14ac:dyDescent="0.2">
      <c r="A134" s="7"/>
      <c r="C134" s="9"/>
      <c r="D134" s="9"/>
      <c r="E134" s="9"/>
      <c r="F134" s="9"/>
      <c r="G134" s="9"/>
      <c r="H134" s="9"/>
      <c r="I134" s="5"/>
      <c r="J134" s="5"/>
    </row>
    <row r="135" spans="1:10" x14ac:dyDescent="0.2">
      <c r="C135" s="9"/>
      <c r="D135" s="9"/>
      <c r="E135" s="9"/>
      <c r="F135" s="9"/>
      <c r="G135" s="9"/>
      <c r="H135" s="9"/>
      <c r="I135" s="5"/>
      <c r="J135" s="5"/>
    </row>
    <row r="136" spans="1:10" x14ac:dyDescent="0.2">
      <c r="C136" s="9"/>
      <c r="D136" s="9"/>
      <c r="E136" s="9"/>
      <c r="F136" s="9"/>
      <c r="G136" s="9"/>
      <c r="H136" s="9"/>
      <c r="I136" s="5"/>
      <c r="J136" s="5"/>
    </row>
    <row r="137" spans="1:10" x14ac:dyDescent="0.2">
      <c r="C137" s="9"/>
      <c r="D137" s="9"/>
      <c r="E137" s="9"/>
      <c r="F137" s="9"/>
      <c r="G137" s="9"/>
      <c r="H137" s="9"/>
      <c r="I137" s="5"/>
      <c r="J137" s="5"/>
    </row>
    <row r="138" spans="1:10" x14ac:dyDescent="0.2">
      <c r="C138" s="9"/>
      <c r="D138" s="9"/>
      <c r="E138" s="9"/>
      <c r="F138" s="9"/>
      <c r="G138" s="9"/>
      <c r="H138" s="9"/>
      <c r="I138" s="5"/>
      <c r="J138" s="5"/>
    </row>
    <row r="139" spans="1:10" x14ac:dyDescent="0.2">
      <c r="C139" s="9"/>
      <c r="D139" s="9"/>
      <c r="E139" s="9"/>
      <c r="F139" s="9"/>
      <c r="G139" s="9"/>
      <c r="H139" s="9"/>
      <c r="I139" s="5"/>
      <c r="J139" s="5"/>
    </row>
    <row r="140" spans="1:10" x14ac:dyDescent="0.2">
      <c r="C140" s="9"/>
      <c r="D140" s="9"/>
      <c r="E140" s="9"/>
      <c r="F140" s="9"/>
      <c r="G140" s="9"/>
      <c r="H140" s="9"/>
      <c r="I140" s="5"/>
      <c r="J140" s="5"/>
    </row>
    <row r="141" spans="1:10" ht="14.4" x14ac:dyDescent="0.3">
      <c r="B141" s="8"/>
      <c r="C141" s="5"/>
      <c r="D141" s="5"/>
      <c r="E141" s="5"/>
      <c r="F141" s="5"/>
      <c r="G141" s="5"/>
      <c r="H141" s="5"/>
      <c r="I141" s="5"/>
      <c r="J141" s="5"/>
    </row>
    <row r="142" spans="1:10" ht="14.4" x14ac:dyDescent="0.3">
      <c r="B142" s="8"/>
      <c r="C142" s="5"/>
      <c r="D142" s="5"/>
      <c r="E142" s="5"/>
      <c r="F142" s="5"/>
      <c r="G142" s="5"/>
      <c r="H142" s="5"/>
      <c r="I142" s="5"/>
      <c r="J142" s="5"/>
    </row>
    <row r="143" spans="1:10" ht="14.4" x14ac:dyDescent="0.3">
      <c r="B143" s="8"/>
    </row>
  </sheetData>
  <sheetProtection algorithmName="SHA-512" hashValue="AQ98dyIA8MoPWkyXSIUqOCkBGmVx4Bi8ZfcdJcApUouPODY0qbz9QpGyLSEoBpf3ugVUFIynrCN69rPfR6FzsA==" saltValue="yDEZeowsG1QQzlMZPc5yQQ==" spinCount="100000" sheet="1" objects="1" scenarios="1"/>
  <mergeCells count="2">
    <mergeCell ref="A10:R10"/>
    <mergeCell ref="A71:R71"/>
  </mergeCells>
  <conditionalFormatting sqref="A14:C14">
    <cfRule type="expression" dxfId="8" priority="3">
      <formula>B14=1</formula>
    </cfRule>
  </conditionalFormatting>
  <conditionalFormatting sqref="A16:D16">
    <cfRule type="expression" dxfId="7" priority="2">
      <formula>$B$16=1</formula>
    </cfRule>
  </conditionalFormatting>
  <conditionalFormatting sqref="P78:R79 P86:R87 P89:R90">
    <cfRule type="cellIs" dxfId="6" priority="1" operator="equal">
      <formula>0</formula>
    </cfRule>
  </conditionalFormatting>
  <dataValidations count="1">
    <dataValidation type="list" allowBlank="1" showInputMessage="1" showErrorMessage="1" sqref="A5:A6" xr:uid="{D6489662-3BA2-445B-81EA-EDC8AAFAABC9}">
      <formula1>INDIRECT("tech_param[Technologie]")</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9148B-FF9E-4698-89A5-7D56A26396C4}">
  <sheetPr>
    <tabColor rgb="FF009B48"/>
  </sheetPr>
  <dimension ref="A1:R143"/>
  <sheetViews>
    <sheetView showGridLines="0" workbookViewId="0">
      <selection activeCell="A7" sqref="A7"/>
    </sheetView>
  </sheetViews>
  <sheetFormatPr defaultColWidth="8.88671875" defaultRowHeight="11.4" x14ac:dyDescent="0.2"/>
  <cols>
    <col min="1" max="1" width="55.6640625" style="1" customWidth="1"/>
    <col min="2" max="2" width="18.33203125" style="3" customWidth="1"/>
    <col min="3" max="3" width="15" style="1" customWidth="1"/>
    <col min="4" max="13" width="11.6640625" style="1" customWidth="1"/>
    <col min="14" max="15" width="11.6640625" style="1" hidden="1" customWidth="1"/>
    <col min="16" max="16" width="11.33203125" style="1" hidden="1" customWidth="1"/>
    <col min="17" max="18" width="12" style="1" hidden="1" customWidth="1"/>
    <col min="19" max="16384" width="8.88671875" style="21"/>
  </cols>
  <sheetData>
    <row r="1" spans="1:18" s="10" customFormat="1" ht="14.25" customHeight="1" x14ac:dyDescent="0.2">
      <c r="A1" s="64"/>
      <c r="B1" s="63"/>
      <c r="C1" s="63"/>
      <c r="D1" s="63"/>
      <c r="E1" s="63"/>
      <c r="F1" s="63"/>
      <c r="G1" s="63"/>
      <c r="H1" s="63"/>
      <c r="I1" s="63"/>
      <c r="J1" s="63"/>
      <c r="K1" s="63"/>
      <c r="L1" s="63"/>
      <c r="M1" s="63"/>
      <c r="N1" s="63"/>
      <c r="O1" s="63"/>
      <c r="P1" s="63"/>
      <c r="Q1" s="63"/>
      <c r="R1" s="63"/>
    </row>
    <row r="2" spans="1:18" s="16" customFormat="1" ht="28.2" customHeight="1" x14ac:dyDescent="0.3">
      <c r="A2" s="71" t="s">
        <v>0</v>
      </c>
      <c r="B2" s="63"/>
      <c r="C2" s="63"/>
      <c r="D2" s="63"/>
      <c r="E2" s="63"/>
      <c r="F2" s="63"/>
      <c r="G2" s="63"/>
      <c r="H2" s="63"/>
      <c r="I2" s="63"/>
      <c r="J2" s="63"/>
      <c r="K2" s="63"/>
      <c r="L2" s="63"/>
      <c r="M2" s="63"/>
      <c r="N2" s="63"/>
      <c r="O2" s="63"/>
      <c r="P2" s="63"/>
      <c r="Q2" s="63"/>
      <c r="R2" s="63"/>
    </row>
    <row r="3" spans="1:18" s="10" customFormat="1" ht="14.25" customHeight="1" x14ac:dyDescent="0.2">
      <c r="A3" s="63"/>
      <c r="B3" s="63"/>
      <c r="C3" s="63"/>
      <c r="D3" s="63"/>
      <c r="E3" s="63"/>
      <c r="F3" s="63"/>
      <c r="G3" s="63"/>
      <c r="H3" s="63"/>
      <c r="I3" s="63"/>
      <c r="J3" s="63"/>
      <c r="K3" s="63"/>
      <c r="L3" s="63"/>
      <c r="M3" s="63"/>
      <c r="N3" s="63"/>
      <c r="O3" s="63"/>
      <c r="P3" s="63"/>
      <c r="Q3" s="63"/>
      <c r="R3" s="63"/>
    </row>
    <row r="4" spans="1:18" s="14" customFormat="1" ht="14.25" customHeight="1" x14ac:dyDescent="0.3">
      <c r="A4" s="11"/>
      <c r="B4" s="12"/>
      <c r="C4" s="11"/>
      <c r="D4" s="11"/>
      <c r="E4" s="11"/>
      <c r="F4" s="11"/>
      <c r="G4" s="11"/>
      <c r="H4" s="11"/>
      <c r="I4" s="11"/>
      <c r="J4" s="11"/>
      <c r="K4" s="11"/>
      <c r="L4" s="11"/>
      <c r="M4" s="11"/>
      <c r="N4" s="11"/>
      <c r="O4" s="11"/>
      <c r="P4" s="11"/>
      <c r="Q4" s="11"/>
      <c r="R4" s="11"/>
    </row>
    <row r="5" spans="1:18" s="20" customFormat="1" ht="28.8" x14ac:dyDescent="0.2">
      <c r="A5" s="113" t="s">
        <v>99</v>
      </c>
      <c r="B5" s="112"/>
      <c r="C5" s="112"/>
      <c r="D5" s="112"/>
      <c r="E5" s="112"/>
      <c r="F5" s="112"/>
      <c r="G5" s="112"/>
      <c r="H5" s="112"/>
      <c r="I5" s="112"/>
      <c r="J5" s="112"/>
      <c r="K5" s="112"/>
      <c r="L5" s="112"/>
      <c r="M5" s="112"/>
      <c r="N5" s="112"/>
      <c r="O5" s="112"/>
      <c r="P5" s="112"/>
      <c r="Q5" s="112"/>
      <c r="R5" s="112"/>
    </row>
    <row r="6" spans="1:18" s="95" customFormat="1" ht="5.0999999999999996" customHeight="1" x14ac:dyDescent="0.3">
      <c r="A6" s="114"/>
      <c r="B6" s="98"/>
      <c r="C6" s="98"/>
      <c r="D6" s="98"/>
      <c r="E6" s="98"/>
      <c r="F6" s="98"/>
      <c r="G6" s="98"/>
      <c r="H6" s="98"/>
      <c r="I6" s="98"/>
      <c r="J6" s="98"/>
      <c r="K6" s="98"/>
      <c r="L6" s="98"/>
      <c r="M6" s="98"/>
      <c r="N6" s="98"/>
      <c r="O6" s="98"/>
    </row>
    <row r="7" spans="1:18" s="24" customFormat="1" ht="14.25" customHeight="1" x14ac:dyDescent="0.3">
      <c r="A7" s="22"/>
      <c r="B7" s="23"/>
      <c r="C7" s="17"/>
      <c r="D7" s="17"/>
      <c r="E7" s="17"/>
      <c r="F7" s="17"/>
      <c r="G7" s="17"/>
      <c r="H7" s="17"/>
      <c r="I7" s="17"/>
      <c r="J7" s="17"/>
      <c r="K7" s="17"/>
      <c r="L7" s="17"/>
      <c r="M7" s="17"/>
      <c r="N7" s="17"/>
      <c r="O7" s="17"/>
      <c r="P7" s="17"/>
      <c r="Q7" s="17"/>
      <c r="R7" s="17"/>
    </row>
    <row r="8" spans="1:18" s="14" customFormat="1" ht="14.25" customHeight="1" x14ac:dyDescent="0.3">
      <c r="A8" s="11"/>
      <c r="B8" s="12"/>
      <c r="C8" s="11"/>
      <c r="D8" s="11"/>
      <c r="E8" s="11"/>
      <c r="F8" s="11"/>
      <c r="G8" s="11"/>
      <c r="H8" s="11"/>
      <c r="I8" s="11"/>
      <c r="J8" s="11"/>
      <c r="K8" s="11"/>
      <c r="L8" s="11"/>
      <c r="M8" s="11"/>
      <c r="N8" s="11"/>
      <c r="O8" s="11"/>
      <c r="P8" s="11"/>
      <c r="Q8" s="11"/>
      <c r="R8" s="11"/>
    </row>
    <row r="9" spans="1:18" s="117" customFormat="1" ht="14.25" customHeight="1" x14ac:dyDescent="0.3">
      <c r="A9" s="116" t="s">
        <v>102</v>
      </c>
      <c r="B9" s="116"/>
      <c r="C9" s="116"/>
      <c r="D9" s="116"/>
      <c r="E9" s="116"/>
      <c r="F9" s="116"/>
      <c r="G9" s="116"/>
      <c r="H9" s="116"/>
      <c r="I9" s="116"/>
      <c r="J9" s="116"/>
      <c r="K9" s="116"/>
    </row>
    <row r="10" spans="1:18" s="95" customFormat="1" ht="14.25" customHeight="1" x14ac:dyDescent="0.3">
      <c r="A10" s="166" t="s">
        <v>1</v>
      </c>
      <c r="B10" s="167"/>
      <c r="C10" s="167"/>
      <c r="D10" s="167"/>
      <c r="E10" s="167"/>
      <c r="F10" s="167"/>
      <c r="G10" s="167"/>
      <c r="H10" s="167"/>
      <c r="I10" s="167"/>
      <c r="J10" s="167"/>
      <c r="K10" s="167"/>
      <c r="L10" s="167"/>
      <c r="M10" s="167"/>
      <c r="N10" s="167"/>
      <c r="O10" s="168"/>
      <c r="P10" s="168"/>
      <c r="Q10" s="168"/>
      <c r="R10" s="168"/>
    </row>
    <row r="11" spans="1:18" s="72" customFormat="1" ht="14.25" customHeight="1" x14ac:dyDescent="0.3">
      <c r="A11" s="73"/>
      <c r="B11" s="74"/>
      <c r="C11" s="40"/>
      <c r="D11" s="40"/>
      <c r="E11" s="40"/>
      <c r="F11" s="40"/>
      <c r="G11" s="40"/>
      <c r="H11" s="40"/>
      <c r="I11" s="40"/>
      <c r="J11" s="40"/>
      <c r="K11" s="40"/>
      <c r="L11" s="40"/>
      <c r="M11" s="40"/>
      <c r="N11" s="40"/>
      <c r="O11" s="40"/>
      <c r="P11" s="40"/>
      <c r="Q11" s="40"/>
      <c r="R11" s="40"/>
    </row>
    <row r="12" spans="1:18" s="109" customFormat="1" ht="14.25" customHeight="1" x14ac:dyDescent="0.3">
      <c r="A12" s="108" t="s">
        <v>103</v>
      </c>
      <c r="B12" s="50" t="s">
        <v>12</v>
      </c>
      <c r="C12" s="108" t="s">
        <v>13</v>
      </c>
      <c r="D12" s="108"/>
      <c r="E12" s="54"/>
      <c r="F12" s="54"/>
      <c r="G12" s="54"/>
      <c r="H12" s="54"/>
      <c r="I12" s="54"/>
      <c r="J12" s="54"/>
      <c r="K12" s="54"/>
      <c r="L12" s="54"/>
      <c r="M12" s="54"/>
      <c r="N12" s="54"/>
      <c r="O12" s="54"/>
      <c r="P12" s="54"/>
      <c r="Q12" s="54"/>
      <c r="R12" s="54"/>
    </row>
    <row r="13" spans="1:18" s="72" customFormat="1" ht="14.25" customHeight="1" x14ac:dyDescent="0.3">
      <c r="A13" s="40" t="s">
        <v>65</v>
      </c>
      <c r="B13" s="62">
        <f>VLOOKUP($A$5,tech_param[],3,FALSE)</f>
        <v>1000</v>
      </c>
      <c r="C13" s="40" t="s">
        <v>104</v>
      </c>
      <c r="D13" s="76"/>
      <c r="E13" s="40"/>
      <c r="F13" s="40"/>
      <c r="G13" s="40"/>
      <c r="H13" s="40"/>
      <c r="I13" s="40"/>
      <c r="J13" s="40"/>
      <c r="K13" s="40"/>
      <c r="L13" s="40"/>
      <c r="M13" s="40"/>
      <c r="N13" s="40"/>
      <c r="O13" s="40"/>
      <c r="P13" s="40"/>
      <c r="Q13" s="40"/>
      <c r="R13" s="40"/>
    </row>
    <row r="14" spans="1:18" s="72" customFormat="1" ht="14.25" customHeight="1" x14ac:dyDescent="0.3">
      <c r="A14" s="40" t="s">
        <v>105</v>
      </c>
      <c r="B14" s="45">
        <f>VLOOKUP($A$5,tech_param[],4,FALSE)</f>
        <v>1</v>
      </c>
      <c r="C14" s="40" t="s">
        <v>106</v>
      </c>
      <c r="D14" s="76"/>
      <c r="E14" s="40"/>
      <c r="F14" s="40"/>
      <c r="G14" s="40"/>
      <c r="H14" s="40"/>
      <c r="I14" s="40"/>
      <c r="J14" s="40"/>
      <c r="K14" s="40"/>
      <c r="L14" s="40"/>
      <c r="M14" s="40"/>
      <c r="N14" s="40"/>
      <c r="O14" s="40"/>
      <c r="P14" s="40"/>
      <c r="Q14" s="40"/>
      <c r="R14" s="40"/>
    </row>
    <row r="15" spans="1:18" s="72" customFormat="1" ht="14.25" customHeight="1" x14ac:dyDescent="0.3">
      <c r="A15" s="40" t="s">
        <v>107</v>
      </c>
      <c r="B15" s="77">
        <f>B13*B14*B16</f>
        <v>5000</v>
      </c>
      <c r="C15" s="40" t="s">
        <v>108</v>
      </c>
      <c r="D15" s="76"/>
      <c r="E15" s="40"/>
      <c r="F15" s="40"/>
      <c r="G15" s="40"/>
      <c r="H15" s="40"/>
      <c r="I15" s="40"/>
      <c r="J15" s="40"/>
      <c r="K15" s="40"/>
      <c r="L15" s="40"/>
      <c r="M15" s="40"/>
      <c r="N15" s="40"/>
      <c r="O15" s="40"/>
      <c r="P15" s="40"/>
      <c r="Q15" s="40"/>
      <c r="R15" s="40"/>
    </row>
    <row r="16" spans="1:18" s="72" customFormat="1" ht="14.25" customHeight="1" x14ac:dyDescent="0.3">
      <c r="A16" s="40" t="s">
        <v>109</v>
      </c>
      <c r="B16" s="78">
        <f>VLOOKUP($A$5,tech_param[],5,FALSE)</f>
        <v>5</v>
      </c>
      <c r="C16" s="79" t="s">
        <v>110</v>
      </c>
      <c r="D16" s="153" t="s">
        <v>111</v>
      </c>
      <c r="E16" s="40"/>
      <c r="F16" s="40"/>
      <c r="G16" s="40"/>
      <c r="H16" s="40"/>
      <c r="I16" s="40"/>
      <c r="J16" s="40"/>
      <c r="K16" s="40"/>
      <c r="L16" s="40"/>
      <c r="M16" s="40"/>
      <c r="N16" s="40"/>
      <c r="O16" s="40"/>
      <c r="P16" s="40"/>
      <c r="Q16" s="40"/>
      <c r="R16" s="40"/>
    </row>
    <row r="17" spans="1:18" s="72" customFormat="1" ht="14.25" customHeight="1" x14ac:dyDescent="0.3">
      <c r="A17" s="40" t="s">
        <v>112</v>
      </c>
      <c r="B17" s="62">
        <f>VLOOKUP($A$5,tech_param[],6,FALSE)</f>
        <v>5500</v>
      </c>
      <c r="C17" s="40" t="s">
        <v>113</v>
      </c>
      <c r="D17" s="76"/>
      <c r="E17" s="40"/>
      <c r="F17" s="40"/>
      <c r="G17" s="40"/>
      <c r="H17" s="40"/>
      <c r="I17" s="40"/>
      <c r="J17" s="40"/>
      <c r="K17" s="40"/>
      <c r="L17" s="40"/>
      <c r="M17" s="40"/>
      <c r="N17" s="40"/>
      <c r="O17" s="40"/>
      <c r="P17" s="40"/>
      <c r="Q17" s="40"/>
      <c r="R17" s="40"/>
    </row>
    <row r="18" spans="1:18" s="72" customFormat="1" ht="14.25" customHeight="1" x14ac:dyDescent="0.3">
      <c r="A18" s="40" t="s">
        <v>114</v>
      </c>
      <c r="B18" s="77">
        <f>(B13*B17)/1000</f>
        <v>5500</v>
      </c>
      <c r="C18" s="40" t="s">
        <v>115</v>
      </c>
      <c r="D18" s="76"/>
      <c r="E18" s="40"/>
      <c r="F18" s="40"/>
      <c r="G18" s="40"/>
      <c r="H18" s="40"/>
      <c r="I18" s="40"/>
      <c r="J18" s="40"/>
      <c r="K18" s="40"/>
      <c r="L18" s="40"/>
      <c r="M18" s="40"/>
      <c r="N18" s="40"/>
      <c r="O18" s="40"/>
      <c r="P18" s="40"/>
      <c r="Q18" s="40"/>
      <c r="R18" s="40"/>
    </row>
    <row r="19" spans="1:18" s="72" customFormat="1" ht="14.25" customHeight="1" x14ac:dyDescent="0.3">
      <c r="A19" s="40"/>
      <c r="B19" s="74"/>
      <c r="C19" s="40"/>
      <c r="D19" s="76"/>
      <c r="E19" s="40"/>
      <c r="F19" s="40"/>
      <c r="G19" s="40"/>
      <c r="H19" s="40"/>
      <c r="I19" s="40"/>
      <c r="J19" s="40"/>
      <c r="K19" s="40"/>
      <c r="L19" s="40"/>
      <c r="M19" s="40"/>
      <c r="N19" s="40"/>
      <c r="O19" s="40"/>
      <c r="P19" s="40"/>
      <c r="Q19" s="40"/>
      <c r="R19" s="40"/>
    </row>
    <row r="20" spans="1:18" s="109" customFormat="1" ht="14.25" customHeight="1" x14ac:dyDescent="0.3">
      <c r="A20" s="108" t="s">
        <v>116</v>
      </c>
      <c r="B20" s="50" t="s">
        <v>12</v>
      </c>
      <c r="C20" s="108" t="s">
        <v>13</v>
      </c>
      <c r="D20" s="76"/>
      <c r="E20" s="40"/>
      <c r="F20" s="54"/>
      <c r="G20" s="54"/>
      <c r="H20" s="54"/>
      <c r="I20" s="54"/>
      <c r="J20" s="54"/>
      <c r="K20" s="54"/>
      <c r="L20" s="54"/>
      <c r="M20" s="54"/>
      <c r="N20" s="54"/>
      <c r="O20" s="54"/>
      <c r="P20" s="54"/>
      <c r="Q20" s="54"/>
      <c r="R20" s="54"/>
    </row>
    <row r="21" spans="1:18" s="72" customFormat="1" ht="14.25" customHeight="1" x14ac:dyDescent="0.3">
      <c r="A21" s="79" t="s">
        <v>117</v>
      </c>
      <c r="B21" s="42">
        <f>VLOOKUP($A$5,tech_param[],7,FALSE)</f>
        <v>1152</v>
      </c>
      <c r="C21" s="40" t="s">
        <v>118</v>
      </c>
      <c r="D21" s="80"/>
      <c r="E21" s="40"/>
      <c r="F21" s="40"/>
      <c r="G21" s="40"/>
      <c r="H21" s="40"/>
      <c r="I21" s="40"/>
      <c r="J21" s="40"/>
      <c r="K21" s="40"/>
      <c r="L21" s="40"/>
      <c r="M21" s="40"/>
      <c r="N21" s="40"/>
      <c r="O21" s="40"/>
      <c r="P21" s="40"/>
      <c r="Q21" s="40"/>
      <c r="R21" s="40"/>
    </row>
    <row r="22" spans="1:18" s="72" customFormat="1" ht="14.25" customHeight="1" x14ac:dyDescent="0.3">
      <c r="A22" s="40" t="s">
        <v>119</v>
      </c>
      <c r="B22" s="77">
        <f>B21*B15</f>
        <v>5760000</v>
      </c>
      <c r="C22" s="40" t="s">
        <v>120</v>
      </c>
      <c r="D22" s="76"/>
      <c r="E22" s="40"/>
      <c r="F22" s="40"/>
      <c r="G22" s="40"/>
      <c r="H22" s="40"/>
      <c r="I22" s="40"/>
      <c r="J22" s="40"/>
      <c r="K22" s="40"/>
      <c r="L22" s="40"/>
      <c r="M22" s="40"/>
      <c r="N22" s="40"/>
      <c r="O22" s="40"/>
      <c r="P22" s="40"/>
      <c r="Q22" s="40"/>
      <c r="R22" s="40"/>
    </row>
    <row r="23" spans="1:18" s="72" customFormat="1" ht="14.25" customHeight="1" x14ac:dyDescent="0.3">
      <c r="A23" s="79" t="s">
        <v>121</v>
      </c>
      <c r="B23" s="81">
        <f>VLOOKUP($A$5,tech_param[],9,FALSE)*VLOOKUP($A$5,tech_param[],10,FALSE)</f>
        <v>49.728376915919995</v>
      </c>
      <c r="C23" s="40" t="s">
        <v>183</v>
      </c>
      <c r="D23" s="76"/>
      <c r="E23" s="40"/>
      <c r="F23" s="40"/>
      <c r="G23" s="40"/>
      <c r="H23" s="40"/>
      <c r="I23" s="40"/>
      <c r="J23" s="40"/>
      <c r="K23" s="40"/>
      <c r="L23" s="40"/>
      <c r="M23" s="40"/>
      <c r="N23" s="40"/>
      <c r="O23" s="40"/>
      <c r="P23" s="40"/>
      <c r="Q23" s="40"/>
      <c r="R23" s="40"/>
    </row>
    <row r="24" spans="1:18" s="72" customFormat="1" ht="14.25" customHeight="1" x14ac:dyDescent="0.3">
      <c r="A24" s="79" t="s">
        <v>122</v>
      </c>
      <c r="B24" s="77">
        <f>VLOOKUP($A$5,tech_param[],8,FALSE)*B22/100</f>
        <v>230400</v>
      </c>
      <c r="C24" s="40" t="s">
        <v>123</v>
      </c>
      <c r="D24" s="76"/>
      <c r="E24" s="40"/>
      <c r="F24" s="40"/>
      <c r="G24" s="40"/>
      <c r="H24" s="40"/>
      <c r="I24" s="40"/>
      <c r="J24" s="40"/>
      <c r="K24" s="40"/>
      <c r="L24" s="40"/>
      <c r="M24" s="40"/>
      <c r="N24" s="40"/>
      <c r="O24" s="40"/>
      <c r="P24" s="40"/>
      <c r="Q24" s="40"/>
      <c r="R24" s="40"/>
    </row>
    <row r="25" spans="1:18" s="72" customFormat="1" ht="14.25" customHeight="1" x14ac:dyDescent="0.3">
      <c r="A25" s="40" t="s">
        <v>124</v>
      </c>
      <c r="B25" s="77">
        <f>B23*B13+B24</f>
        <v>280128.37691592</v>
      </c>
      <c r="C25" s="40" t="s">
        <v>123</v>
      </c>
      <c r="D25" s="76"/>
      <c r="E25" s="40"/>
      <c r="F25" s="40"/>
      <c r="G25" s="40"/>
      <c r="H25" s="40"/>
      <c r="I25" s="40"/>
      <c r="J25" s="40"/>
      <c r="K25" s="40"/>
      <c r="L25" s="40"/>
      <c r="M25" s="40"/>
      <c r="N25" s="40"/>
      <c r="O25" s="40"/>
      <c r="P25" s="40"/>
      <c r="Q25" s="40"/>
      <c r="R25" s="40"/>
    </row>
    <row r="26" spans="1:18" s="72" customFormat="1" ht="14.25" customHeight="1" x14ac:dyDescent="0.3">
      <c r="A26" s="79" t="s">
        <v>182</v>
      </c>
      <c r="B26" s="82">
        <f>VLOOKUP($A$5,tech_param[],11,FALSE)</f>
        <v>9.7600000000000006E-2</v>
      </c>
      <c r="C26" s="83" t="s">
        <v>125</v>
      </c>
      <c r="D26" s="76"/>
      <c r="E26" s="40"/>
      <c r="F26" s="40"/>
      <c r="G26" s="40"/>
      <c r="H26" s="40"/>
      <c r="I26" s="40"/>
      <c r="J26" s="40"/>
      <c r="K26" s="40"/>
      <c r="L26" s="40"/>
      <c r="M26" s="40"/>
      <c r="N26" s="40"/>
      <c r="O26" s="40"/>
      <c r="P26" s="40"/>
      <c r="Q26" s="40"/>
      <c r="R26" s="40"/>
    </row>
    <row r="27" spans="1:18" s="72" customFormat="1" ht="14.25" customHeight="1" x14ac:dyDescent="0.3">
      <c r="A27" s="79" t="s">
        <v>126</v>
      </c>
      <c r="B27" s="82">
        <f>VLOOKUP($A$5,tech_param[],12,FALSE)</f>
        <v>7.7158303998599992E-3</v>
      </c>
      <c r="C27" s="40" t="s">
        <v>55</v>
      </c>
      <c r="D27" s="76"/>
      <c r="E27" s="40"/>
      <c r="F27" s="40"/>
      <c r="G27" s="40"/>
      <c r="H27" s="40"/>
      <c r="I27" s="40"/>
      <c r="J27" s="40"/>
      <c r="K27" s="40"/>
      <c r="L27" s="40"/>
      <c r="M27" s="40"/>
      <c r="N27" s="40"/>
      <c r="O27" s="40"/>
      <c r="P27" s="40"/>
      <c r="Q27" s="40"/>
      <c r="R27" s="40"/>
    </row>
    <row r="28" spans="1:18" s="72" customFormat="1" ht="14.25" customHeight="1" x14ac:dyDescent="0.3">
      <c r="A28" s="40" t="s">
        <v>127</v>
      </c>
      <c r="B28" s="84">
        <f>SUM(B26:B27)</f>
        <v>0.10531583039986001</v>
      </c>
      <c r="C28" s="40" t="s">
        <v>55</v>
      </c>
      <c r="D28" s="76"/>
      <c r="E28" s="40"/>
      <c r="F28" s="40"/>
      <c r="G28" s="40"/>
      <c r="H28" s="40"/>
      <c r="I28" s="40"/>
      <c r="J28" s="40"/>
      <c r="K28" s="40"/>
      <c r="L28" s="40"/>
      <c r="M28" s="40"/>
      <c r="N28" s="40"/>
      <c r="O28" s="40"/>
      <c r="P28" s="40"/>
      <c r="Q28" s="40"/>
      <c r="R28" s="40"/>
    </row>
    <row r="29" spans="1:18" s="72" customFormat="1" ht="14.25" customHeight="1" x14ac:dyDescent="0.3">
      <c r="A29" s="40"/>
      <c r="B29" s="74"/>
      <c r="C29" s="40"/>
      <c r="D29" s="43"/>
      <c r="E29" s="43"/>
      <c r="F29" s="43"/>
      <c r="G29" s="43"/>
      <c r="H29" s="43"/>
      <c r="I29" s="43"/>
      <c r="J29" s="43"/>
      <c r="K29" s="43"/>
      <c r="L29" s="43"/>
      <c r="M29" s="43"/>
      <c r="N29" s="43"/>
      <c r="O29" s="43"/>
      <c r="P29" s="43"/>
      <c r="Q29" s="40"/>
      <c r="R29" s="40"/>
    </row>
    <row r="30" spans="1:18" s="72" customFormat="1" ht="14.25" customHeight="1" x14ac:dyDescent="0.3">
      <c r="A30" s="75" t="s">
        <v>128</v>
      </c>
      <c r="B30" s="37" t="s">
        <v>12</v>
      </c>
      <c r="C30" s="75" t="s">
        <v>129</v>
      </c>
      <c r="D30" s="108" t="s">
        <v>14</v>
      </c>
      <c r="E30" s="43"/>
      <c r="F30" s="43"/>
      <c r="G30" s="43"/>
      <c r="H30" s="43"/>
      <c r="I30" s="43"/>
      <c r="J30" s="43"/>
      <c r="K30" s="43"/>
      <c r="L30" s="43"/>
      <c r="M30" s="43"/>
      <c r="N30" s="43"/>
      <c r="O30" s="43"/>
      <c r="P30" s="43"/>
      <c r="Q30" s="40"/>
      <c r="R30" s="40"/>
    </row>
    <row r="31" spans="1:18" s="72" customFormat="1" ht="14.25" customHeight="1" x14ac:dyDescent="0.3">
      <c r="A31" s="40" t="s">
        <v>130</v>
      </c>
      <c r="B31" s="85">
        <f>'Algemene parameters'!B13</f>
        <v>0.20239199999999999</v>
      </c>
      <c r="C31" s="40" t="s">
        <v>131</v>
      </c>
      <c r="D31" s="43" t="s">
        <v>132</v>
      </c>
      <c r="E31" s="43"/>
      <c r="F31" s="43"/>
      <c r="G31" s="43"/>
      <c r="H31" s="43"/>
      <c r="I31" s="43"/>
      <c r="J31" s="43"/>
      <c r="K31" s="43"/>
      <c r="L31" s="43"/>
      <c r="M31" s="43"/>
      <c r="N31" s="43"/>
      <c r="O31" s="43"/>
      <c r="P31" s="43"/>
      <c r="Q31" s="40"/>
      <c r="R31" s="40"/>
    </row>
    <row r="32" spans="1:18" s="72" customFormat="1" ht="14.25" customHeight="1" x14ac:dyDescent="0.3">
      <c r="A32" s="40" t="s">
        <v>133</v>
      </c>
      <c r="B32" s="86">
        <f>'Algemene parameters'!B15</f>
        <v>0.22487999999999997</v>
      </c>
      <c r="C32" s="40" t="s">
        <v>134</v>
      </c>
      <c r="D32" s="43" t="s">
        <v>135</v>
      </c>
      <c r="E32" s="43"/>
      <c r="F32" s="43"/>
      <c r="G32" s="43"/>
      <c r="H32" s="43"/>
      <c r="I32" s="43"/>
      <c r="J32" s="43"/>
      <c r="K32" s="43"/>
      <c r="L32" s="43"/>
      <c r="M32" s="43"/>
      <c r="N32" s="43"/>
      <c r="O32" s="43"/>
      <c r="P32" s="43"/>
      <c r="Q32" s="40"/>
      <c r="R32" s="40"/>
    </row>
    <row r="33" spans="1:18" s="72" customFormat="1" ht="14.25" customHeight="1" x14ac:dyDescent="0.3">
      <c r="A33" s="40" t="s">
        <v>136</v>
      </c>
      <c r="B33" s="85">
        <f>VLOOKUP($A$5,tech_param[],13,FALSE)</f>
        <v>0.15</v>
      </c>
      <c r="C33" s="40" t="s">
        <v>137</v>
      </c>
      <c r="D33" s="43"/>
      <c r="E33" s="43"/>
      <c r="F33" s="43"/>
      <c r="G33" s="43"/>
      <c r="H33" s="43"/>
      <c r="I33" s="43"/>
      <c r="J33" s="43"/>
      <c r="K33" s="43"/>
      <c r="L33" s="43"/>
      <c r="M33" s="43"/>
      <c r="N33" s="43"/>
      <c r="O33" s="43"/>
      <c r="P33" s="43"/>
      <c r="Q33" s="40"/>
      <c r="R33" s="40"/>
    </row>
    <row r="34" spans="1:18" s="72" customFormat="1" ht="14.25" customHeight="1" x14ac:dyDescent="0.3">
      <c r="A34" s="40" t="s">
        <v>138</v>
      </c>
      <c r="B34" s="86">
        <f>B32-(B33*B13/B15)</f>
        <v>0.19487999999999997</v>
      </c>
      <c r="C34" s="40" t="s">
        <v>134</v>
      </c>
      <c r="D34" s="43" t="s">
        <v>139</v>
      </c>
      <c r="E34" s="43"/>
      <c r="F34" s="43"/>
      <c r="G34" s="43"/>
      <c r="H34" s="43"/>
      <c r="I34" s="43"/>
      <c r="J34" s="43"/>
      <c r="K34" s="43"/>
      <c r="L34" s="43"/>
      <c r="M34" s="43"/>
      <c r="N34" s="43"/>
      <c r="O34" s="43"/>
      <c r="P34" s="43"/>
      <c r="Q34" s="40"/>
      <c r="R34" s="40"/>
    </row>
    <row r="35" spans="1:18" s="72" customFormat="1" ht="14.25" customHeight="1" x14ac:dyDescent="0.3">
      <c r="A35" s="40"/>
      <c r="B35" s="74"/>
      <c r="C35" s="40"/>
      <c r="D35" s="43"/>
      <c r="E35" s="43"/>
      <c r="F35" s="43"/>
      <c r="G35" s="43"/>
      <c r="H35" s="43"/>
      <c r="I35" s="43"/>
      <c r="J35" s="43"/>
      <c r="K35" s="43"/>
      <c r="L35" s="43"/>
      <c r="M35" s="43"/>
      <c r="N35" s="43"/>
      <c r="O35" s="43"/>
      <c r="P35" s="43"/>
      <c r="Q35" s="40"/>
      <c r="R35" s="40"/>
    </row>
    <row r="36" spans="1:18" s="109" customFormat="1" ht="14.25" customHeight="1" x14ac:dyDescent="0.3">
      <c r="A36" s="108" t="s">
        <v>28</v>
      </c>
      <c r="B36" s="50" t="s">
        <v>12</v>
      </c>
      <c r="C36" s="108" t="s">
        <v>13</v>
      </c>
      <c r="D36" s="43"/>
      <c r="E36" s="43"/>
      <c r="F36" s="43"/>
      <c r="G36" s="43"/>
      <c r="H36" s="43"/>
      <c r="I36" s="43"/>
      <c r="J36" s="43"/>
      <c r="K36" s="43"/>
      <c r="L36" s="43"/>
      <c r="M36" s="43"/>
      <c r="N36" s="43"/>
      <c r="O36" s="43"/>
      <c r="P36" s="43"/>
      <c r="Q36" s="54"/>
      <c r="R36" s="54"/>
    </row>
    <row r="37" spans="1:18" s="72" customFormat="1" ht="14.25" customHeight="1" x14ac:dyDescent="0.3">
      <c r="A37" s="40" t="s">
        <v>76</v>
      </c>
      <c r="B37" s="88">
        <f>VLOOKUP($A$5,tech_param[],14,FALSE)</f>
        <v>10</v>
      </c>
      <c r="C37" s="40" t="s">
        <v>30</v>
      </c>
      <c r="D37" s="43"/>
      <c r="E37" s="43"/>
      <c r="F37" s="43"/>
      <c r="G37" s="43"/>
      <c r="H37" s="43"/>
      <c r="I37" s="43"/>
      <c r="J37" s="43"/>
      <c r="K37" s="43"/>
      <c r="L37" s="43"/>
      <c r="M37" s="43"/>
      <c r="N37" s="43"/>
      <c r="O37" s="43"/>
      <c r="P37" s="43"/>
      <c r="Q37" s="40"/>
      <c r="R37" s="40"/>
    </row>
    <row r="38" spans="1:18" s="72" customFormat="1" ht="14.25" customHeight="1" x14ac:dyDescent="0.3">
      <c r="A38" s="40" t="s">
        <v>29</v>
      </c>
      <c r="B38" s="62">
        <f>'Algemene parameters'!B23</f>
        <v>10</v>
      </c>
      <c r="C38" s="40" t="s">
        <v>30</v>
      </c>
      <c r="D38" s="43"/>
      <c r="E38" s="43"/>
      <c r="F38" s="43"/>
      <c r="G38" s="43"/>
      <c r="H38" s="43"/>
      <c r="I38" s="43"/>
      <c r="J38" s="43"/>
      <c r="K38" s="43"/>
      <c r="L38" s="43"/>
      <c r="M38" s="43"/>
      <c r="N38" s="43"/>
      <c r="O38" s="43"/>
      <c r="P38" s="43"/>
      <c r="Q38" s="40"/>
      <c r="R38" s="40"/>
    </row>
    <row r="39" spans="1:18" s="72" customFormat="1" ht="14.25" customHeight="1" x14ac:dyDescent="0.3">
      <c r="A39" s="40" t="s">
        <v>31</v>
      </c>
      <c r="B39" s="90">
        <f>'Algemene parameters'!B24</f>
        <v>0.02</v>
      </c>
      <c r="C39" s="40"/>
      <c r="D39" s="43"/>
      <c r="E39" s="43"/>
      <c r="F39" s="43"/>
      <c r="G39" s="43"/>
      <c r="H39" s="43"/>
      <c r="I39" s="43"/>
      <c r="J39" s="43"/>
      <c r="K39" s="43"/>
      <c r="L39" s="43"/>
      <c r="M39" s="43"/>
      <c r="N39" s="43"/>
      <c r="O39" s="43"/>
      <c r="P39" s="43"/>
      <c r="Q39" s="40"/>
      <c r="R39" s="40"/>
    </row>
    <row r="40" spans="1:18" s="72" customFormat="1" ht="14.25" customHeight="1" x14ac:dyDescent="0.3">
      <c r="A40" s="79" t="s">
        <v>140</v>
      </c>
      <c r="B40" s="90">
        <f>'Algemene parameters'!B25</f>
        <v>5.7500000000000002E-2</v>
      </c>
      <c r="C40" s="40"/>
      <c r="D40" s="40"/>
      <c r="E40" s="40"/>
      <c r="F40" s="40"/>
      <c r="G40" s="40"/>
      <c r="H40" s="40"/>
      <c r="I40" s="40"/>
      <c r="J40" s="40"/>
      <c r="K40" s="40"/>
      <c r="L40" s="40"/>
      <c r="M40" s="40"/>
      <c r="N40" s="40"/>
      <c r="O40" s="40"/>
      <c r="P40" s="40"/>
      <c r="Q40" s="40"/>
      <c r="R40" s="40"/>
    </row>
    <row r="41" spans="1:18" s="72" customFormat="1" ht="14.25" customHeight="1" x14ac:dyDescent="0.3">
      <c r="A41" s="79" t="s">
        <v>141</v>
      </c>
      <c r="B41" s="45">
        <f>'Algemene parameters'!B26</f>
        <v>0.12</v>
      </c>
      <c r="C41" s="40"/>
      <c r="D41" s="40"/>
      <c r="E41" s="40"/>
      <c r="F41" s="40"/>
      <c r="G41" s="40"/>
      <c r="H41" s="40"/>
      <c r="I41" s="40"/>
      <c r="J41" s="40"/>
      <c r="K41" s="40"/>
      <c r="L41" s="40"/>
      <c r="M41" s="40"/>
      <c r="N41" s="40"/>
      <c r="O41" s="40"/>
      <c r="P41" s="40"/>
      <c r="Q41" s="40"/>
      <c r="R41" s="40"/>
    </row>
    <row r="42" spans="1:18" s="72" customFormat="1" ht="14.25" customHeight="1" x14ac:dyDescent="0.3">
      <c r="A42" s="79" t="s">
        <v>142</v>
      </c>
      <c r="B42" s="45">
        <f>'Algemene parameters'!B27</f>
        <v>0.58200000000000007</v>
      </c>
      <c r="C42" s="40"/>
      <c r="D42" s="40"/>
      <c r="E42" s="40"/>
      <c r="F42" s="40"/>
      <c r="G42" s="40"/>
      <c r="H42" s="40"/>
      <c r="I42" s="40"/>
      <c r="J42" s="40"/>
      <c r="K42" s="40"/>
      <c r="L42" s="40"/>
      <c r="M42" s="40"/>
      <c r="N42" s="40"/>
      <c r="O42" s="40"/>
      <c r="P42" s="40"/>
      <c r="Q42" s="40"/>
      <c r="R42" s="40"/>
    </row>
    <row r="43" spans="1:18" s="72" customFormat="1" ht="14.25" customHeight="1" x14ac:dyDescent="0.3">
      <c r="A43" s="79" t="s">
        <v>143</v>
      </c>
      <c r="B43" s="45">
        <f>'Algemene parameters'!B28</f>
        <v>0.41799999999999998</v>
      </c>
      <c r="C43" s="40"/>
      <c r="D43" s="40"/>
      <c r="E43" s="40"/>
      <c r="F43" s="40"/>
      <c r="G43" s="40"/>
      <c r="H43" s="40"/>
      <c r="I43" s="40"/>
      <c r="J43" s="40"/>
      <c r="K43" s="40"/>
      <c r="L43" s="40"/>
      <c r="M43" s="40"/>
      <c r="N43" s="40"/>
      <c r="O43" s="40"/>
      <c r="P43" s="40"/>
      <c r="Q43" s="40"/>
      <c r="R43" s="40"/>
    </row>
    <row r="44" spans="1:18" s="72" customFormat="1" ht="14.25" customHeight="1" x14ac:dyDescent="0.3">
      <c r="A44" s="40" t="s">
        <v>41</v>
      </c>
      <c r="B44" s="45">
        <f>'Algemene parameters'!B29</f>
        <v>0.25</v>
      </c>
      <c r="C44" s="40"/>
      <c r="D44" s="40"/>
      <c r="E44" s="40"/>
      <c r="F44" s="40"/>
      <c r="G44" s="40"/>
      <c r="H44" s="40"/>
      <c r="I44" s="40"/>
      <c r="J44" s="40"/>
      <c r="K44" s="40"/>
      <c r="L44" s="40"/>
      <c r="M44" s="40"/>
      <c r="N44" s="40"/>
      <c r="O44" s="40"/>
      <c r="P44" s="40"/>
      <c r="Q44" s="40"/>
      <c r="R44" s="40"/>
    </row>
    <row r="45" spans="1:18" s="72" customFormat="1" ht="14.25" customHeight="1" x14ac:dyDescent="0.3">
      <c r="A45" s="115" t="s">
        <v>42</v>
      </c>
      <c r="B45" s="111">
        <f>'Algemene parameters'!B30</f>
        <v>7.5258749999999999E-2</v>
      </c>
      <c r="C45" s="40"/>
      <c r="D45" s="40"/>
      <c r="E45" s="40"/>
      <c r="F45" s="40"/>
      <c r="G45" s="40"/>
      <c r="H45" s="40"/>
      <c r="I45" s="40"/>
      <c r="J45" s="40"/>
      <c r="K45" s="40"/>
      <c r="L45" s="40"/>
      <c r="M45" s="40"/>
      <c r="N45" s="40"/>
      <c r="O45" s="40"/>
      <c r="P45" s="40"/>
      <c r="Q45" s="40"/>
      <c r="R45" s="40"/>
    </row>
    <row r="46" spans="1:18" s="72" customFormat="1" ht="14.25" customHeight="1" x14ac:dyDescent="0.3">
      <c r="A46" s="40"/>
      <c r="B46" s="40"/>
      <c r="C46" s="40"/>
      <c r="D46" s="91"/>
      <c r="E46" s="91"/>
      <c r="F46" s="91"/>
      <c r="G46" s="91"/>
      <c r="H46" s="91"/>
      <c r="I46" s="91"/>
      <c r="J46" s="91"/>
      <c r="K46" s="91"/>
      <c r="L46" s="91"/>
      <c r="M46" s="91"/>
      <c r="N46" s="40"/>
      <c r="O46" s="40"/>
      <c r="P46" s="40"/>
      <c r="Q46" s="40"/>
      <c r="R46" s="40"/>
    </row>
    <row r="47" spans="1:18" s="109" customFormat="1" ht="14.25" customHeight="1" x14ac:dyDescent="0.3">
      <c r="A47" s="108" t="s">
        <v>144</v>
      </c>
      <c r="B47" s="50" t="s">
        <v>12</v>
      </c>
      <c r="C47" s="108" t="s">
        <v>13</v>
      </c>
      <c r="D47" s="108" t="s">
        <v>14</v>
      </c>
      <c r="E47" s="54"/>
      <c r="F47" s="54"/>
      <c r="G47" s="54"/>
      <c r="H47" s="54"/>
      <c r="I47" s="54"/>
      <c r="J47" s="110"/>
      <c r="K47" s="54"/>
      <c r="L47" s="54"/>
      <c r="M47" s="54"/>
      <c r="N47" s="54"/>
      <c r="O47" s="54"/>
      <c r="P47" s="54"/>
      <c r="Q47" s="54"/>
      <c r="R47" s="54"/>
    </row>
    <row r="48" spans="1:18" s="72" customFormat="1" ht="14.25" customHeight="1" x14ac:dyDescent="0.3">
      <c r="A48" s="79" t="s">
        <v>145</v>
      </c>
      <c r="B48" s="92">
        <f>'Algemene parameters'!B42/'Algemene parameters'!B14/B34*1000</f>
        <v>205.4086119143974</v>
      </c>
      <c r="C48" s="40" t="s">
        <v>91</v>
      </c>
      <c r="D48" s="43" t="s">
        <v>146</v>
      </c>
      <c r="E48" s="43"/>
      <c r="F48" s="43"/>
      <c r="G48" s="43"/>
      <c r="H48" s="43"/>
      <c r="I48" s="43"/>
      <c r="J48" s="87"/>
      <c r="K48" s="40"/>
      <c r="L48" s="40"/>
      <c r="M48" s="40"/>
      <c r="N48" s="40"/>
      <c r="O48" s="40"/>
      <c r="P48" s="40"/>
      <c r="Q48" s="40"/>
      <c r="R48" s="40"/>
    </row>
    <row r="49" spans="1:18" s="72" customFormat="1" ht="14.25" customHeight="1" x14ac:dyDescent="0.3">
      <c r="A49" s="79" t="s">
        <v>147</v>
      </c>
      <c r="B49" s="92">
        <f>(('Algemene parameters'!B44/1000*B32))/B34*1000</f>
        <v>163.28263546798027</v>
      </c>
      <c r="C49" s="40" t="s">
        <v>91</v>
      </c>
      <c r="D49" s="43" t="s">
        <v>148</v>
      </c>
      <c r="E49" s="43"/>
      <c r="F49" s="43"/>
      <c r="G49" s="43"/>
      <c r="H49" s="43"/>
      <c r="I49" s="43"/>
      <c r="J49" s="87"/>
      <c r="K49" s="40"/>
      <c r="L49" s="40"/>
      <c r="M49" s="40"/>
      <c r="N49" s="40"/>
      <c r="O49" s="40"/>
      <c r="P49" s="40"/>
      <c r="Q49" s="40"/>
      <c r="R49" s="40"/>
    </row>
    <row r="50" spans="1:18" s="72" customFormat="1" ht="14.25" customHeight="1" x14ac:dyDescent="0.3">
      <c r="A50" s="79" t="s">
        <v>149</v>
      </c>
      <c r="B50" s="92">
        <f>(('Algemene parameters'!B45/1000*B32))/B34*1000</f>
        <v>68.890270935960601</v>
      </c>
      <c r="C50" s="40" t="s">
        <v>91</v>
      </c>
      <c r="D50" s="43" t="s">
        <v>150</v>
      </c>
      <c r="E50" s="43"/>
      <c r="F50" s="43"/>
      <c r="G50" s="43"/>
      <c r="H50" s="43"/>
      <c r="I50" s="43"/>
      <c r="J50" s="87"/>
      <c r="K50" s="40"/>
      <c r="L50" s="40"/>
      <c r="M50" s="40"/>
      <c r="N50" s="40"/>
      <c r="O50" s="40"/>
      <c r="P50" s="40"/>
      <c r="Q50" s="40"/>
      <c r="R50" s="40"/>
    </row>
    <row r="51" spans="1:18" s="72" customFormat="1" ht="14.25" customHeight="1" x14ac:dyDescent="0.3">
      <c r="A51" s="40" t="s">
        <v>151</v>
      </c>
      <c r="B51" s="92">
        <f>SUM(B48:B49)</f>
        <v>368.6912473823777</v>
      </c>
      <c r="C51" s="40" t="s">
        <v>91</v>
      </c>
      <c r="D51" s="43"/>
      <c r="E51" s="43"/>
      <c r="F51" s="43"/>
      <c r="G51" s="43"/>
      <c r="H51" s="43"/>
      <c r="I51" s="43"/>
      <c r="J51" s="89"/>
      <c r="K51" s="40"/>
      <c r="L51" s="40"/>
      <c r="M51" s="40"/>
      <c r="N51" s="40"/>
      <c r="O51" s="40"/>
      <c r="P51" s="40"/>
      <c r="Q51" s="40"/>
      <c r="R51" s="40"/>
    </row>
    <row r="52" spans="1:18" s="72" customFormat="1" ht="14.25" customHeight="1" x14ac:dyDescent="0.3">
      <c r="A52" s="40" t="s">
        <v>152</v>
      </c>
      <c r="B52" s="92">
        <f>B48+B50</f>
        <v>274.29888285035798</v>
      </c>
      <c r="C52" s="40" t="s">
        <v>91</v>
      </c>
      <c r="D52" s="43"/>
      <c r="E52" s="43"/>
      <c r="F52" s="43"/>
      <c r="G52" s="43"/>
      <c r="H52" s="43"/>
      <c r="I52" s="43"/>
      <c r="J52" s="89"/>
      <c r="K52" s="40"/>
      <c r="L52" s="40"/>
      <c r="M52" s="40"/>
      <c r="N52" s="40"/>
      <c r="O52" s="40"/>
      <c r="P52" s="40"/>
      <c r="Q52" s="40"/>
      <c r="R52" s="40"/>
    </row>
    <row r="53" spans="1:18" s="72" customFormat="1" ht="14.25" customHeight="1" x14ac:dyDescent="0.3">
      <c r="A53" s="40"/>
      <c r="B53" s="74"/>
      <c r="C53" s="40"/>
      <c r="D53" s="43"/>
      <c r="E53" s="43"/>
      <c r="F53" s="43"/>
      <c r="G53" s="43"/>
      <c r="H53" s="43"/>
      <c r="I53" s="43"/>
      <c r="J53" s="89"/>
      <c r="K53" s="40"/>
      <c r="L53" s="40"/>
      <c r="M53" s="40"/>
      <c r="N53" s="40"/>
      <c r="O53" s="40"/>
      <c r="P53" s="40"/>
      <c r="Q53" s="40"/>
      <c r="R53" s="40"/>
    </row>
    <row r="54" spans="1:18" s="109" customFormat="1" ht="14.25" customHeight="1" x14ac:dyDescent="0.3">
      <c r="A54" s="108" t="s">
        <v>153</v>
      </c>
      <c r="B54" s="50" t="s">
        <v>12</v>
      </c>
      <c r="C54" s="108" t="s">
        <v>13</v>
      </c>
      <c r="D54" s="108" t="s">
        <v>14</v>
      </c>
      <c r="E54" s="43"/>
      <c r="F54" s="43"/>
      <c r="G54" s="43"/>
      <c r="H54" s="43"/>
      <c r="I54" s="43"/>
      <c r="J54" s="110"/>
      <c r="K54" s="54"/>
      <c r="L54" s="54"/>
      <c r="M54" s="54"/>
      <c r="N54" s="54"/>
      <c r="O54" s="54"/>
      <c r="P54" s="54"/>
      <c r="Q54" s="54"/>
      <c r="R54" s="54"/>
    </row>
    <row r="55" spans="1:18" s="72" customFormat="1" ht="14.25" customHeight="1" x14ac:dyDescent="0.3">
      <c r="A55" s="79" t="s">
        <v>154</v>
      </c>
      <c r="B55" s="92">
        <f>B59/$B$34*1000</f>
        <v>136.93907460959826</v>
      </c>
      <c r="C55" s="40" t="s">
        <v>91</v>
      </c>
      <c r="D55" s="151" t="s">
        <v>155</v>
      </c>
      <c r="E55" s="151"/>
      <c r="F55" s="151"/>
      <c r="G55" s="151"/>
      <c r="H55" s="151"/>
      <c r="I55" s="151"/>
      <c r="J55" s="152"/>
      <c r="K55" s="40"/>
      <c r="L55" s="40"/>
      <c r="M55" s="40"/>
      <c r="N55" s="40"/>
      <c r="O55" s="40"/>
      <c r="P55" s="40"/>
      <c r="Q55" s="40"/>
      <c r="R55" s="40"/>
    </row>
    <row r="56" spans="1:18" s="72" customFormat="1" ht="14.25" customHeight="1" x14ac:dyDescent="0.3">
      <c r="A56" s="79" t="s">
        <v>156</v>
      </c>
      <c r="B56" s="92">
        <f t="shared" ref="B56:B57" si="0">B60/$B$34*1000</f>
        <v>108.85509031198687</v>
      </c>
      <c r="C56" s="40" t="s">
        <v>91</v>
      </c>
      <c r="D56" s="151" t="s">
        <v>155</v>
      </c>
      <c r="E56" s="151"/>
      <c r="F56" s="151"/>
      <c r="G56" s="151"/>
      <c r="H56" s="151"/>
      <c r="I56" s="151"/>
      <c r="J56" s="152"/>
      <c r="K56" s="40"/>
      <c r="L56" s="40"/>
      <c r="M56" s="40"/>
      <c r="N56" s="40"/>
      <c r="O56" s="40"/>
      <c r="P56" s="40"/>
      <c r="Q56" s="40"/>
      <c r="R56" s="40"/>
    </row>
    <row r="57" spans="1:18" s="72" customFormat="1" ht="14.25" customHeight="1" x14ac:dyDescent="0.3">
      <c r="A57" s="79" t="s">
        <v>157</v>
      </c>
      <c r="B57" s="92">
        <f t="shared" si="0"/>
        <v>45.926847290640396</v>
      </c>
      <c r="C57" s="40" t="s">
        <v>91</v>
      </c>
      <c r="D57" s="151" t="s">
        <v>155</v>
      </c>
      <c r="E57" s="151"/>
      <c r="F57" s="151"/>
      <c r="G57" s="151"/>
      <c r="H57" s="151"/>
      <c r="I57" s="151"/>
      <c r="J57" s="152"/>
      <c r="K57" s="40"/>
      <c r="L57" s="40"/>
      <c r="M57" s="40"/>
      <c r="N57" s="40"/>
      <c r="O57" s="40"/>
      <c r="P57" s="40"/>
      <c r="Q57" s="40"/>
      <c r="R57" s="40"/>
    </row>
    <row r="58" spans="1:18" s="72" customFormat="1" ht="14.25" customHeight="1" x14ac:dyDescent="0.3">
      <c r="A58" s="79"/>
      <c r="B58" s="92"/>
      <c r="C58" s="40"/>
      <c r="D58" s="43"/>
      <c r="E58" s="43"/>
      <c r="F58" s="43"/>
      <c r="G58" s="43"/>
      <c r="H58" s="43"/>
      <c r="I58" s="43"/>
      <c r="J58" s="87"/>
      <c r="K58" s="40"/>
      <c r="L58" s="40"/>
      <c r="M58" s="40"/>
      <c r="N58" s="40"/>
      <c r="O58" s="40"/>
      <c r="P58" s="40"/>
      <c r="Q58" s="40"/>
      <c r="R58" s="40"/>
    </row>
    <row r="59" spans="1:18" s="72" customFormat="1" ht="14.25" customHeight="1" x14ac:dyDescent="0.3">
      <c r="A59" s="79" t="s">
        <v>154</v>
      </c>
      <c r="B59" s="93">
        <f>2/3*'Algemene parameters'!B42/'Algemene parameters'!B14</f>
        <v>2.6686686859918506E-2</v>
      </c>
      <c r="C59" s="40" t="s">
        <v>92</v>
      </c>
      <c r="D59" s="43"/>
      <c r="E59" s="43"/>
      <c r="F59" s="43"/>
      <c r="G59" s="43"/>
      <c r="H59" s="43"/>
      <c r="I59" s="43"/>
      <c r="J59" s="87"/>
      <c r="K59" s="40"/>
      <c r="L59" s="40"/>
      <c r="M59" s="40"/>
      <c r="N59" s="40"/>
      <c r="O59" s="40"/>
      <c r="P59" s="40"/>
      <c r="Q59" s="40"/>
      <c r="R59" s="40"/>
    </row>
    <row r="60" spans="1:18" s="72" customFormat="1" ht="14.25" customHeight="1" x14ac:dyDescent="0.3">
      <c r="A60" s="79" t="s">
        <v>156</v>
      </c>
      <c r="B60" s="93">
        <f>2/3*'Algemene parameters'!B44*'Algemene parameters'!B13/'Algemene parameters'!B14/1000</f>
        <v>2.1213679999999999E-2</v>
      </c>
      <c r="C60" s="40" t="s">
        <v>92</v>
      </c>
      <c r="D60" s="43"/>
      <c r="E60" s="43"/>
      <c r="F60" s="43"/>
      <c r="G60" s="43"/>
      <c r="H60" s="43"/>
      <c r="I60" s="43"/>
      <c r="J60" s="87"/>
      <c r="K60" s="40"/>
      <c r="L60" s="40"/>
      <c r="M60" s="40"/>
      <c r="N60" s="40"/>
      <c r="O60" s="40"/>
      <c r="P60" s="40"/>
      <c r="Q60" s="40"/>
      <c r="R60" s="40"/>
    </row>
    <row r="61" spans="1:18" s="72" customFormat="1" ht="14.25" customHeight="1" x14ac:dyDescent="0.3">
      <c r="A61" s="79" t="s">
        <v>157</v>
      </c>
      <c r="B61" s="93">
        <f>2/3*'Algemene parameters'!B45*'Algemene parameters'!B13/'Algemene parameters'!B14/1000</f>
        <v>8.9502239999999979E-3</v>
      </c>
      <c r="C61" s="40" t="s">
        <v>92</v>
      </c>
      <c r="D61" s="43"/>
      <c r="E61" s="43"/>
      <c r="F61" s="43"/>
      <c r="G61" s="43"/>
      <c r="H61" s="43"/>
      <c r="I61" s="43"/>
      <c r="J61" s="87"/>
      <c r="K61" s="40"/>
      <c r="L61" s="40"/>
      <c r="M61" s="40"/>
      <c r="N61" s="40"/>
      <c r="O61" s="40"/>
      <c r="P61" s="40"/>
      <c r="Q61" s="40"/>
      <c r="R61" s="40"/>
    </row>
    <row r="62" spans="1:18" s="72" customFormat="1" ht="14.25" customHeight="1" x14ac:dyDescent="0.3">
      <c r="A62" s="79"/>
      <c r="B62" s="92"/>
      <c r="C62" s="40"/>
      <c r="D62" s="94"/>
      <c r="I62" s="40"/>
      <c r="J62" s="87"/>
      <c r="K62" s="40"/>
      <c r="L62" s="40"/>
      <c r="M62" s="40"/>
      <c r="N62" s="40"/>
      <c r="O62" s="40"/>
      <c r="P62" s="40"/>
      <c r="Q62" s="40"/>
      <c r="R62" s="40"/>
    </row>
    <row r="63" spans="1:18" s="72" customFormat="1" ht="14.25" customHeight="1" x14ac:dyDescent="0.3">
      <c r="A63" s="95" t="s">
        <v>158</v>
      </c>
      <c r="B63" s="97">
        <f>B59+B60</f>
        <v>4.7900366859918504E-2</v>
      </c>
      <c r="C63" s="40" t="s">
        <v>92</v>
      </c>
      <c r="D63" s="76"/>
      <c r="E63" s="40"/>
      <c r="F63" s="40"/>
      <c r="G63" s="40"/>
      <c r="H63" s="40"/>
      <c r="I63" s="40"/>
      <c r="J63" s="89"/>
      <c r="K63" s="40"/>
      <c r="L63" s="40"/>
      <c r="M63" s="40"/>
      <c r="N63" s="40"/>
      <c r="O63" s="40"/>
      <c r="P63" s="40"/>
      <c r="Q63" s="40"/>
      <c r="R63" s="40"/>
    </row>
    <row r="64" spans="1:18" s="72" customFormat="1" ht="14.25" customHeight="1" x14ac:dyDescent="0.3">
      <c r="A64" s="95" t="s">
        <v>159</v>
      </c>
      <c r="B64" s="97">
        <f>B59+B61</f>
        <v>3.5636910859918505E-2</v>
      </c>
      <c r="C64" s="40" t="s">
        <v>92</v>
      </c>
      <c r="D64" s="76"/>
      <c r="E64" s="40"/>
      <c r="F64" s="40"/>
      <c r="G64" s="40"/>
      <c r="H64" s="40"/>
      <c r="I64" s="40"/>
      <c r="J64" s="89"/>
      <c r="K64" s="40"/>
      <c r="L64" s="40"/>
      <c r="M64" s="40"/>
      <c r="N64" s="40"/>
      <c r="O64" s="40"/>
      <c r="P64" s="40"/>
      <c r="Q64" s="40"/>
      <c r="R64" s="40"/>
    </row>
    <row r="65" spans="1:18" s="72" customFormat="1" ht="14.25" customHeight="1" x14ac:dyDescent="0.3">
      <c r="A65" s="95" t="s">
        <v>160</v>
      </c>
      <c r="B65" s="97">
        <f>B59</f>
        <v>2.6686686859918506E-2</v>
      </c>
      <c r="C65" s="40" t="s">
        <v>92</v>
      </c>
      <c r="D65" s="76"/>
      <c r="E65" s="40"/>
      <c r="F65" s="40"/>
      <c r="G65" s="40"/>
      <c r="H65" s="40"/>
      <c r="I65" s="40"/>
      <c r="J65" s="89"/>
      <c r="K65" s="40"/>
      <c r="L65" s="40"/>
      <c r="M65" s="40"/>
      <c r="N65" s="40"/>
      <c r="O65" s="40"/>
      <c r="P65" s="40"/>
      <c r="Q65" s="40"/>
      <c r="R65" s="40"/>
    </row>
    <row r="66" spans="1:18" s="142" customFormat="1" x14ac:dyDescent="0.2">
      <c r="A66" s="140"/>
      <c r="B66" s="141"/>
      <c r="C66" s="15"/>
      <c r="D66" s="140"/>
      <c r="E66" s="140"/>
      <c r="F66" s="140"/>
      <c r="G66" s="140"/>
      <c r="H66" s="140"/>
      <c r="I66" s="140"/>
      <c r="J66" s="140"/>
      <c r="K66" s="140"/>
      <c r="L66" s="140"/>
      <c r="M66" s="140"/>
      <c r="N66" s="140"/>
      <c r="O66" s="140"/>
      <c r="P66" s="140"/>
      <c r="Q66" s="140"/>
      <c r="R66" s="140"/>
    </row>
    <row r="67" spans="1:18" s="72" customFormat="1" ht="14.25" customHeight="1" x14ac:dyDescent="0.3">
      <c r="A67" s="95"/>
      <c r="B67" s="92"/>
      <c r="C67" s="40"/>
      <c r="D67" s="76"/>
      <c r="E67" s="40"/>
      <c r="F67" s="40"/>
      <c r="G67" s="40"/>
      <c r="H67" s="40"/>
      <c r="I67" s="40"/>
      <c r="J67" s="89"/>
      <c r="K67" s="40"/>
      <c r="L67" s="40"/>
      <c r="M67" s="40"/>
      <c r="N67" s="40"/>
      <c r="O67" s="40"/>
      <c r="P67" s="40"/>
      <c r="Q67" s="40"/>
      <c r="R67" s="40"/>
    </row>
    <row r="68" spans="1:18" s="72" customFormat="1" ht="14.25" customHeight="1" x14ac:dyDescent="0.3">
      <c r="A68" s="95"/>
      <c r="B68" s="92"/>
      <c r="C68" s="40"/>
      <c r="D68" s="76"/>
      <c r="E68" s="40"/>
      <c r="F68" s="40"/>
      <c r="G68" s="40"/>
      <c r="H68" s="40"/>
      <c r="I68" s="40"/>
      <c r="J68" s="89"/>
      <c r="K68" s="40"/>
      <c r="L68" s="40"/>
      <c r="M68" s="40"/>
      <c r="N68" s="40"/>
      <c r="O68" s="40"/>
      <c r="P68" s="40"/>
      <c r="Q68" s="40"/>
      <c r="R68" s="40"/>
    </row>
    <row r="69" spans="1:18" s="72" customFormat="1" ht="14.25" customHeight="1" x14ac:dyDescent="0.3">
      <c r="A69" s="40"/>
      <c r="B69" s="74"/>
      <c r="C69" s="40"/>
      <c r="D69" s="40"/>
      <c r="E69" s="40"/>
      <c r="F69" s="40"/>
      <c r="G69" s="40"/>
      <c r="H69" s="40"/>
      <c r="I69" s="40"/>
      <c r="J69" s="89"/>
      <c r="K69" s="40"/>
      <c r="L69" s="40"/>
      <c r="M69" s="40"/>
      <c r="N69" s="40"/>
      <c r="O69" s="40"/>
      <c r="P69" s="40"/>
      <c r="Q69" s="40"/>
      <c r="R69" s="40"/>
    </row>
    <row r="70" spans="1:18" s="48" customFormat="1" ht="14.25" customHeight="1" x14ac:dyDescent="0.3">
      <c r="A70" s="46" t="s">
        <v>161</v>
      </c>
      <c r="B70" s="46"/>
      <c r="C70" s="46"/>
      <c r="D70" s="46"/>
      <c r="E70" s="46"/>
      <c r="F70" s="46"/>
      <c r="G70" s="46"/>
      <c r="H70" s="46"/>
      <c r="I70" s="46"/>
      <c r="J70" s="46"/>
      <c r="K70" s="46"/>
    </row>
    <row r="71" spans="1:18" s="95" customFormat="1" ht="14.25" customHeight="1" x14ac:dyDescent="0.3">
      <c r="A71" s="166" t="s">
        <v>1</v>
      </c>
      <c r="B71" s="167"/>
      <c r="C71" s="167"/>
      <c r="D71" s="167"/>
      <c r="E71" s="167"/>
      <c r="F71" s="167"/>
      <c r="G71" s="167"/>
      <c r="H71" s="167"/>
      <c r="I71" s="167"/>
      <c r="J71" s="167"/>
      <c r="K71" s="167"/>
      <c r="L71" s="167"/>
      <c r="M71" s="167"/>
      <c r="N71" s="167"/>
      <c r="O71" s="169"/>
      <c r="P71" s="169"/>
      <c r="Q71" s="169"/>
      <c r="R71" s="169"/>
    </row>
    <row r="72" spans="1:18" s="14" customFormat="1" ht="14.25" customHeight="1" x14ac:dyDescent="0.3">
      <c r="A72" s="11"/>
      <c r="B72" s="12"/>
      <c r="C72" s="11"/>
      <c r="D72" s="11"/>
      <c r="E72" s="11"/>
      <c r="F72" s="11"/>
      <c r="G72" s="11"/>
      <c r="H72" s="11"/>
      <c r="I72" s="11"/>
      <c r="J72" s="11"/>
      <c r="K72" s="11"/>
      <c r="L72" s="11"/>
      <c r="M72" s="11"/>
      <c r="N72" s="11"/>
      <c r="O72" s="11"/>
      <c r="P72" s="11"/>
      <c r="Q72" s="11"/>
      <c r="R72" s="11"/>
    </row>
    <row r="73" spans="1:18" s="119" customFormat="1" ht="14.25" customHeight="1" x14ac:dyDescent="0.3">
      <c r="A73" s="120" t="s">
        <v>162</v>
      </c>
      <c r="B73" s="120"/>
      <c r="C73" s="121">
        <v>0</v>
      </c>
      <c r="D73" s="121">
        <v>1</v>
      </c>
      <c r="E73" s="121">
        <v>2</v>
      </c>
      <c r="F73" s="121">
        <v>3</v>
      </c>
      <c r="G73" s="121">
        <v>4</v>
      </c>
      <c r="H73" s="121">
        <v>5</v>
      </c>
      <c r="I73" s="121">
        <v>6</v>
      </c>
      <c r="J73" s="121">
        <v>7</v>
      </c>
      <c r="K73" s="121">
        <v>8</v>
      </c>
      <c r="L73" s="121">
        <v>9</v>
      </c>
      <c r="M73" s="121">
        <v>10</v>
      </c>
      <c r="N73" s="121">
        <v>11</v>
      </c>
      <c r="O73" s="121">
        <v>12</v>
      </c>
      <c r="P73" s="121">
        <v>13</v>
      </c>
      <c r="Q73" s="121">
        <v>14</v>
      </c>
      <c r="R73" s="121">
        <v>15</v>
      </c>
    </row>
    <row r="74" spans="1:18" s="133" customFormat="1" ht="14.25" customHeight="1" x14ac:dyDescent="0.3">
      <c r="A74" s="154" t="s">
        <v>163</v>
      </c>
      <c r="B74" s="123"/>
      <c r="C74" s="124"/>
      <c r="D74" s="125">
        <f t="shared" ref="D74:R74" si="1">POWER(1+$B$39,D73-$D$73)</f>
        <v>1</v>
      </c>
      <c r="E74" s="125">
        <f t="shared" si="1"/>
        <v>1.02</v>
      </c>
      <c r="F74" s="125">
        <f t="shared" si="1"/>
        <v>1.0404</v>
      </c>
      <c r="G74" s="125">
        <f t="shared" si="1"/>
        <v>1.0612079999999999</v>
      </c>
      <c r="H74" s="125">
        <f t="shared" si="1"/>
        <v>1.08243216</v>
      </c>
      <c r="I74" s="125">
        <f t="shared" si="1"/>
        <v>1.1040808032</v>
      </c>
      <c r="J74" s="125">
        <f t="shared" si="1"/>
        <v>1.1261624192640001</v>
      </c>
      <c r="K74" s="125">
        <f t="shared" si="1"/>
        <v>1.1486856676492798</v>
      </c>
      <c r="L74" s="125">
        <f t="shared" si="1"/>
        <v>1.1716593810022655</v>
      </c>
      <c r="M74" s="125">
        <f t="shared" si="1"/>
        <v>1.1950925686223108</v>
      </c>
      <c r="N74" s="125">
        <f t="shared" si="1"/>
        <v>1.2189944199947571</v>
      </c>
      <c r="O74" s="125">
        <f t="shared" si="1"/>
        <v>1.243374308394652</v>
      </c>
      <c r="P74" s="125">
        <f t="shared" si="1"/>
        <v>1.2682417945625453</v>
      </c>
      <c r="Q74" s="125">
        <f t="shared" si="1"/>
        <v>1.2936066304537961</v>
      </c>
      <c r="R74" s="125">
        <f t="shared" si="1"/>
        <v>1.3194787630628722</v>
      </c>
    </row>
    <row r="75" spans="1:18" s="133" customFormat="1" ht="14.25" customHeight="1" x14ac:dyDescent="0.3">
      <c r="A75" s="122"/>
      <c r="B75" s="123"/>
      <c r="C75" s="124"/>
      <c r="D75" s="125"/>
      <c r="E75" s="125"/>
      <c r="F75" s="125"/>
      <c r="G75" s="125"/>
      <c r="H75" s="125"/>
      <c r="I75" s="125"/>
      <c r="J75" s="125"/>
      <c r="K75" s="125"/>
      <c r="L75" s="125"/>
      <c r="M75" s="125"/>
      <c r="N75" s="125"/>
      <c r="O75" s="125"/>
      <c r="P75" s="125"/>
      <c r="Q75" s="125"/>
      <c r="R75" s="125"/>
    </row>
    <row r="76" spans="1:18" s="133" customFormat="1" ht="14.25" customHeight="1" x14ac:dyDescent="0.3">
      <c r="A76" s="126" t="s">
        <v>116</v>
      </c>
      <c r="B76" s="127"/>
      <c r="C76" s="127"/>
      <c r="D76" s="127"/>
      <c r="E76" s="127"/>
      <c r="F76" s="127"/>
      <c r="G76" s="127"/>
      <c r="H76" s="127"/>
      <c r="I76" s="127"/>
      <c r="J76" s="127"/>
      <c r="K76" s="127"/>
      <c r="L76" s="127"/>
      <c r="M76" s="127"/>
      <c r="N76" s="127"/>
      <c r="O76" s="127"/>
      <c r="P76" s="127"/>
      <c r="Q76" s="127"/>
      <c r="R76" s="127"/>
    </row>
    <row r="77" spans="1:18" s="133" customFormat="1" ht="14.25" customHeight="1" x14ac:dyDescent="0.3">
      <c r="A77" s="124" t="s">
        <v>164</v>
      </c>
      <c r="B77" s="123"/>
      <c r="C77" s="128">
        <f>-B22</f>
        <v>-5760000</v>
      </c>
      <c r="D77" s="124"/>
      <c r="E77" s="124"/>
      <c r="F77" s="124"/>
      <c r="G77" s="124"/>
      <c r="H77" s="124"/>
      <c r="I77" s="124"/>
      <c r="J77" s="124"/>
      <c r="K77" s="124"/>
      <c r="L77" s="124"/>
      <c r="M77" s="124"/>
      <c r="N77" s="128"/>
      <c r="O77" s="128"/>
      <c r="P77" s="124"/>
      <c r="Q77" s="124"/>
      <c r="R77" s="124"/>
    </row>
    <row r="78" spans="1:18" s="133" customFormat="1" ht="14.25" customHeight="1" x14ac:dyDescent="0.3">
      <c r="A78" s="124" t="s">
        <v>165</v>
      </c>
      <c r="B78" s="123"/>
      <c r="C78" s="128"/>
      <c r="D78" s="129">
        <f>-$B$25*D74</f>
        <v>-280128.37691592</v>
      </c>
      <c r="E78" s="129">
        <f>-$B$25*E74</f>
        <v>-285730.9444542384</v>
      </c>
      <c r="F78" s="129">
        <f t="shared" ref="F78:M78" si="2">-$B$25*F74</f>
        <v>-291445.56334332319</v>
      </c>
      <c r="G78" s="129">
        <f t="shared" si="2"/>
        <v>-297274.47461018962</v>
      </c>
      <c r="H78" s="129">
        <f t="shared" si="2"/>
        <v>-303219.96410239342</v>
      </c>
      <c r="I78" s="129">
        <f t="shared" si="2"/>
        <v>-309284.3633844413</v>
      </c>
      <c r="J78" s="129">
        <f t="shared" si="2"/>
        <v>-315470.05065213016</v>
      </c>
      <c r="K78" s="129">
        <f t="shared" si="2"/>
        <v>-321779.45166517264</v>
      </c>
      <c r="L78" s="129">
        <f t="shared" si="2"/>
        <v>-328215.04069847614</v>
      </c>
      <c r="M78" s="129">
        <f t="shared" si="2"/>
        <v>-334779.34151244565</v>
      </c>
      <c r="N78" s="129">
        <f>IF($B$37&gt;=N$73,-$B$25*N$74,0)</f>
        <v>0</v>
      </c>
      <c r="O78" s="129">
        <f>IF($B$37&gt;=O$73,-$B$25*O$74,0)</f>
        <v>0</v>
      </c>
      <c r="P78" s="129">
        <f>IF($B$37&gt;=P$73,-$B$25*P$74,0)</f>
        <v>0</v>
      </c>
      <c r="Q78" s="129">
        <f>IF($B$37&gt;=Q$73,-$B$25*Q$74,0)</f>
        <v>0</v>
      </c>
      <c r="R78" s="129">
        <f>IF($B$37&gt;=R$73,-$B$25*R$74,0)</f>
        <v>0</v>
      </c>
    </row>
    <row r="79" spans="1:18" s="133" customFormat="1" ht="14.25" customHeight="1" x14ac:dyDescent="0.3">
      <c r="A79" s="124" t="s">
        <v>166</v>
      </c>
      <c r="B79" s="123"/>
      <c r="C79" s="124"/>
      <c r="D79" s="128">
        <f>-($B$28*$B$18*1000)*D74</f>
        <v>-579237.06719923008</v>
      </c>
      <c r="E79" s="128">
        <f t="shared" ref="E79:M79" si="3">-($B$28*$B$18*1000)*E74</f>
        <v>-590821.80854321469</v>
      </c>
      <c r="F79" s="128">
        <f t="shared" si="3"/>
        <v>-602638.24471407896</v>
      </c>
      <c r="G79" s="128">
        <f t="shared" si="3"/>
        <v>-614691.00960836047</v>
      </c>
      <c r="H79" s="128">
        <f t="shared" si="3"/>
        <v>-626984.82980052778</v>
      </c>
      <c r="I79" s="128">
        <f t="shared" si="3"/>
        <v>-639524.52639653836</v>
      </c>
      <c r="J79" s="128">
        <f t="shared" si="3"/>
        <v>-652315.01692446915</v>
      </c>
      <c r="K79" s="128">
        <f t="shared" si="3"/>
        <v>-665361.31726295839</v>
      </c>
      <c r="L79" s="128">
        <f t="shared" si="3"/>
        <v>-678668.54360821762</v>
      </c>
      <c r="M79" s="128">
        <f t="shared" si="3"/>
        <v>-692241.91448038199</v>
      </c>
      <c r="N79" s="128">
        <f>IF($B$37&gt;=N$73,-($B$28*$B$18*1000)*N74,0)</f>
        <v>0</v>
      </c>
      <c r="O79" s="128">
        <f>IF($B$37&gt;=O$73,-($B$28*$B$18*1000)*O74,0)</f>
        <v>0</v>
      </c>
      <c r="P79" s="128">
        <f>IF($B$37&gt;=P$73,-($B$28*$B$18*1000)*P74,0)</f>
        <v>0</v>
      </c>
      <c r="Q79" s="128">
        <f>IF($B$37&gt;=Q$73,-($B$28*$B$18*1000)*Q74,0)</f>
        <v>0</v>
      </c>
      <c r="R79" s="128">
        <f>IF($B$37&gt;=R$73,-($B$28*$B$18*1000)*R74,0)</f>
        <v>0</v>
      </c>
    </row>
    <row r="80" spans="1:18" s="133" customFormat="1" ht="14.25" customHeight="1" x14ac:dyDescent="0.3">
      <c r="A80" s="126" t="s">
        <v>167</v>
      </c>
      <c r="B80" s="126"/>
      <c r="C80" s="126"/>
      <c r="D80" s="126"/>
      <c r="E80" s="126"/>
      <c r="F80" s="126"/>
      <c r="G80" s="126"/>
      <c r="H80" s="126"/>
      <c r="I80" s="126"/>
      <c r="J80" s="126"/>
      <c r="K80" s="126"/>
      <c r="L80" s="126"/>
      <c r="M80" s="126"/>
      <c r="N80" s="126"/>
      <c r="O80" s="126"/>
      <c r="P80" s="126"/>
      <c r="Q80" s="126"/>
      <c r="R80" s="126"/>
    </row>
    <row r="81" spans="1:18" s="133" customFormat="1" ht="14.25" customHeight="1" x14ac:dyDescent="0.3">
      <c r="A81" s="124" t="s">
        <v>168</v>
      </c>
      <c r="B81" s="123"/>
      <c r="C81" s="124"/>
      <c r="D81" s="128">
        <f>$C$77/$B$38</f>
        <v>-576000</v>
      </c>
      <c r="E81" s="128">
        <f t="shared" ref="E81:M81" si="4">$C$77/$B$38</f>
        <v>-576000</v>
      </c>
      <c r="F81" s="128">
        <f t="shared" si="4"/>
        <v>-576000</v>
      </c>
      <c r="G81" s="128">
        <f t="shared" si="4"/>
        <v>-576000</v>
      </c>
      <c r="H81" s="128">
        <f t="shared" si="4"/>
        <v>-576000</v>
      </c>
      <c r="I81" s="128">
        <f t="shared" si="4"/>
        <v>-576000</v>
      </c>
      <c r="J81" s="128">
        <f t="shared" si="4"/>
        <v>-576000</v>
      </c>
      <c r="K81" s="128">
        <f t="shared" si="4"/>
        <v>-576000</v>
      </c>
      <c r="L81" s="128">
        <f t="shared" si="4"/>
        <v>-576000</v>
      </c>
      <c r="M81" s="128">
        <f t="shared" si="4"/>
        <v>-576000</v>
      </c>
      <c r="N81" s="128"/>
      <c r="O81" s="128"/>
      <c r="P81" s="128"/>
      <c r="Q81" s="128"/>
      <c r="R81" s="128"/>
    </row>
    <row r="82" spans="1:18" s="133" customFormat="1" ht="14.25" customHeight="1" x14ac:dyDescent="0.3">
      <c r="A82" s="130" t="s">
        <v>169</v>
      </c>
      <c r="B82" s="123"/>
      <c r="C82" s="124"/>
      <c r="D82" s="128">
        <f>-IPMT($B$40,D73,$B$38,$B$42*$C$77)</f>
        <v>-192758.40000000002</v>
      </c>
      <c r="E82" s="128">
        <f t="shared" ref="E82:M82" si="5">-IPMT($B$40,E73,$B$38,$B$42*$C$77)</f>
        <v>-177961.63544836044</v>
      </c>
      <c r="F82" s="128">
        <f t="shared" si="5"/>
        <v>-162314.05693500157</v>
      </c>
      <c r="G82" s="128">
        <f t="shared" si="5"/>
        <v>-145766.74265712456</v>
      </c>
      <c r="H82" s="128">
        <f t="shared" si="5"/>
        <v>-128267.95780826957</v>
      </c>
      <c r="I82" s="128">
        <f t="shared" si="5"/>
        <v>-109762.99283060545</v>
      </c>
      <c r="J82" s="128">
        <f t="shared" si="5"/>
        <v>-90193.992366725652</v>
      </c>
      <c r="K82" s="128">
        <f t="shared" si="5"/>
        <v>-69499.774376172776</v>
      </c>
      <c r="L82" s="128">
        <f t="shared" si="5"/>
        <v>-47615.638851163087</v>
      </c>
      <c r="M82" s="128">
        <f t="shared" si="5"/>
        <v>-24473.165533465355</v>
      </c>
      <c r="N82" s="128"/>
      <c r="O82" s="128"/>
      <c r="P82" s="128"/>
      <c r="Q82" s="128"/>
      <c r="R82" s="128"/>
    </row>
    <row r="83" spans="1:18" s="133" customFormat="1" ht="14.25" customHeight="1" x14ac:dyDescent="0.3">
      <c r="A83" s="130" t="s">
        <v>170</v>
      </c>
      <c r="B83" s="123"/>
      <c r="C83" s="124"/>
      <c r="D83" s="128">
        <f>-PPMT($B$40,D73,$B$38,$B$42*$C$77)</f>
        <v>-257335.03568068889</v>
      </c>
      <c r="E83" s="128">
        <f t="shared" ref="E83:M83" si="6">-PPMT($B$40,E73,$B$38,$B$42*$C$77)</f>
        <v>-272131.80023232853</v>
      </c>
      <c r="F83" s="128">
        <f t="shared" si="6"/>
        <v>-287779.37874568737</v>
      </c>
      <c r="G83" s="128">
        <f t="shared" si="6"/>
        <v>-304326.69302356441</v>
      </c>
      <c r="H83" s="128">
        <f t="shared" si="6"/>
        <v>-321825.47787241935</v>
      </c>
      <c r="I83" s="128">
        <f t="shared" si="6"/>
        <v>-340330.44285008352</v>
      </c>
      <c r="J83" s="128">
        <f t="shared" si="6"/>
        <v>-359899.4433139633</v>
      </c>
      <c r="K83" s="128">
        <f t="shared" si="6"/>
        <v>-380593.66130451619</v>
      </c>
      <c r="L83" s="128">
        <f t="shared" si="6"/>
        <v>-402477.79682952585</v>
      </c>
      <c r="M83" s="128">
        <f t="shared" si="6"/>
        <v>-425620.27014722361</v>
      </c>
      <c r="N83" s="128"/>
      <c r="O83" s="128"/>
      <c r="P83" s="128"/>
      <c r="Q83" s="128"/>
      <c r="R83" s="128"/>
    </row>
    <row r="84" spans="1:18" s="134" customFormat="1" ht="14.25" customHeight="1" x14ac:dyDescent="0.3">
      <c r="A84" s="124" t="s">
        <v>171</v>
      </c>
      <c r="B84" s="131"/>
      <c r="C84" s="122"/>
      <c r="D84" s="128">
        <f>SUM(D82:D83)</f>
        <v>-450093.43568068894</v>
      </c>
      <c r="E84" s="128">
        <f t="shared" ref="E84:M84" si="7">SUM(E82:E83)</f>
        <v>-450093.43568068894</v>
      </c>
      <c r="F84" s="128">
        <f>SUM(F82:F83)</f>
        <v>-450093.43568068894</v>
      </c>
      <c r="G84" s="128">
        <f t="shared" si="7"/>
        <v>-450093.43568068894</v>
      </c>
      <c r="H84" s="128">
        <f t="shared" si="7"/>
        <v>-450093.43568068894</v>
      </c>
      <c r="I84" s="128">
        <f t="shared" si="7"/>
        <v>-450093.43568068894</v>
      </c>
      <c r="J84" s="128">
        <f t="shared" si="7"/>
        <v>-450093.43568068894</v>
      </c>
      <c r="K84" s="128">
        <f t="shared" si="7"/>
        <v>-450093.43568068894</v>
      </c>
      <c r="L84" s="128">
        <f t="shared" si="7"/>
        <v>-450093.43568068894</v>
      </c>
      <c r="M84" s="128">
        <f t="shared" si="7"/>
        <v>-450093.43568068894</v>
      </c>
      <c r="N84" s="128"/>
      <c r="O84" s="128"/>
      <c r="P84" s="128"/>
      <c r="Q84" s="128"/>
      <c r="R84" s="128"/>
    </row>
    <row r="85" spans="1:18" s="133" customFormat="1" ht="14.25" customHeight="1" x14ac:dyDescent="0.3">
      <c r="A85" s="126" t="s">
        <v>172</v>
      </c>
      <c r="B85" s="126"/>
      <c r="C85" s="126"/>
      <c r="D85" s="126"/>
      <c r="E85" s="126"/>
      <c r="F85" s="126"/>
      <c r="G85" s="126"/>
      <c r="H85" s="126"/>
      <c r="I85" s="126"/>
      <c r="J85" s="126"/>
      <c r="K85" s="126"/>
      <c r="L85" s="126"/>
      <c r="M85" s="126"/>
      <c r="N85" s="126"/>
      <c r="O85" s="126"/>
      <c r="P85" s="126"/>
      <c r="Q85" s="126"/>
      <c r="R85" s="126"/>
    </row>
    <row r="86" spans="1:18" s="133" customFormat="1" ht="14.25" customHeight="1" x14ac:dyDescent="0.3">
      <c r="A86" s="124" t="s">
        <v>173</v>
      </c>
      <c r="B86" s="123"/>
      <c r="C86" s="124"/>
      <c r="D86" s="128">
        <f>D78+D79+D81+D82</f>
        <v>-1628123.8441151502</v>
      </c>
      <c r="E86" s="128">
        <f t="shared" ref="E86:L86" si="8">E78+E79+E81+E82</f>
        <v>-1630514.3884458134</v>
      </c>
      <c r="F86" s="128">
        <f t="shared" si="8"/>
        <v>-1632397.8649924039</v>
      </c>
      <c r="G86" s="128">
        <f t="shared" si="8"/>
        <v>-1633732.2268756747</v>
      </c>
      <c r="H86" s="128">
        <f t="shared" si="8"/>
        <v>-1634472.7517111909</v>
      </c>
      <c r="I86" s="128">
        <f t="shared" si="8"/>
        <v>-1634571.8826115851</v>
      </c>
      <c r="J86" s="128">
        <f t="shared" si="8"/>
        <v>-1633979.0599433249</v>
      </c>
      <c r="K86" s="128">
        <f t="shared" si="8"/>
        <v>-1632640.5433043039</v>
      </c>
      <c r="L86" s="128">
        <f t="shared" si="8"/>
        <v>-1630499.2231578566</v>
      </c>
      <c r="M86" s="128">
        <f>M78+M79+M81+M82</f>
        <v>-1627494.421526293</v>
      </c>
      <c r="N86" s="128">
        <f>N78+N79+N81+N82</f>
        <v>0</v>
      </c>
      <c r="O86" s="128">
        <f t="shared" ref="O86:P86" si="9">O78+O79+O81+O82</f>
        <v>0</v>
      </c>
      <c r="P86" s="128">
        <f t="shared" si="9"/>
        <v>0</v>
      </c>
      <c r="Q86" s="128">
        <f>Q78+Q79+Q81+Q82</f>
        <v>0</v>
      </c>
      <c r="R86" s="128">
        <f>R78+R79+R81+R82</f>
        <v>0</v>
      </c>
    </row>
    <row r="87" spans="1:18" s="133" customFormat="1" ht="14.25" customHeight="1" x14ac:dyDescent="0.3">
      <c r="A87" s="124" t="s">
        <v>172</v>
      </c>
      <c r="B87" s="123"/>
      <c r="C87" s="124"/>
      <c r="D87" s="128">
        <f>-D86*$B$44</f>
        <v>407030.96102878754</v>
      </c>
      <c r="E87" s="128">
        <f t="shared" ref="E87:R87" si="10">-E86*$B$44</f>
        <v>407628.59711145336</v>
      </c>
      <c r="F87" s="128">
        <f t="shared" si="10"/>
        <v>408099.46624810097</v>
      </c>
      <c r="G87" s="128">
        <f t="shared" si="10"/>
        <v>408433.05671891867</v>
      </c>
      <c r="H87" s="128">
        <f t="shared" si="10"/>
        <v>408618.18792779773</v>
      </c>
      <c r="I87" s="128">
        <f t="shared" si="10"/>
        <v>408642.97065289627</v>
      </c>
      <c r="J87" s="128">
        <f t="shared" si="10"/>
        <v>408494.76498583122</v>
      </c>
      <c r="K87" s="128">
        <f t="shared" si="10"/>
        <v>408160.13582607597</v>
      </c>
      <c r="L87" s="128">
        <f t="shared" si="10"/>
        <v>407624.80578946415</v>
      </c>
      <c r="M87" s="128">
        <f t="shared" si="10"/>
        <v>406873.60538157326</v>
      </c>
      <c r="N87" s="128">
        <f t="shared" si="10"/>
        <v>0</v>
      </c>
      <c r="O87" s="128">
        <f t="shared" si="10"/>
        <v>0</v>
      </c>
      <c r="P87" s="128">
        <f t="shared" si="10"/>
        <v>0</v>
      </c>
      <c r="Q87" s="128">
        <f t="shared" si="10"/>
        <v>0</v>
      </c>
      <c r="R87" s="128">
        <f t="shared" si="10"/>
        <v>0</v>
      </c>
    </row>
    <row r="88" spans="1:18" s="133" customFormat="1" ht="14.25" customHeight="1" x14ac:dyDescent="0.3">
      <c r="A88" s="126" t="s">
        <v>174</v>
      </c>
      <c r="B88" s="126"/>
      <c r="C88" s="126"/>
      <c r="D88" s="126"/>
      <c r="E88" s="126"/>
      <c r="F88" s="126"/>
      <c r="G88" s="126"/>
      <c r="H88" s="126"/>
      <c r="I88" s="126"/>
      <c r="J88" s="126"/>
      <c r="K88" s="126"/>
      <c r="L88" s="126"/>
      <c r="M88" s="126"/>
      <c r="N88" s="126"/>
      <c r="O88" s="126"/>
      <c r="P88" s="126"/>
      <c r="Q88" s="126"/>
      <c r="R88" s="126"/>
    </row>
    <row r="89" spans="1:18" s="133" customFormat="1" ht="14.25" customHeight="1" x14ac:dyDescent="0.3">
      <c r="A89" s="124" t="s">
        <v>175</v>
      </c>
      <c r="B89" s="123"/>
      <c r="C89" s="128">
        <f>C77*B43</f>
        <v>-2407680</v>
      </c>
      <c r="D89" s="128">
        <f>D78+D79+D84+D87</f>
        <v>-902427.91876705154</v>
      </c>
      <c r="E89" s="128">
        <f t="shared" ref="E89:L89" si="11">E78+E79+E84+E87</f>
        <v>-919017.59156668885</v>
      </c>
      <c r="F89" s="128">
        <f t="shared" si="11"/>
        <v>-936077.77748999011</v>
      </c>
      <c r="G89" s="128">
        <f t="shared" si="11"/>
        <v>-953625.86318032048</v>
      </c>
      <c r="H89" s="128">
        <f t="shared" si="11"/>
        <v>-971680.04165581265</v>
      </c>
      <c r="I89" s="128">
        <f t="shared" si="11"/>
        <v>-990259.35480877222</v>
      </c>
      <c r="J89" s="128">
        <f t="shared" si="11"/>
        <v>-1009383.7382714569</v>
      </c>
      <c r="K89" s="128">
        <f t="shared" si="11"/>
        <v>-1029074.068782744</v>
      </c>
      <c r="L89" s="128">
        <f t="shared" si="11"/>
        <v>-1049352.2141979185</v>
      </c>
      <c r="M89" s="128">
        <f>M78+M79+M84+M87</f>
        <v>-1070241.0862919434</v>
      </c>
      <c r="N89" s="128">
        <f t="shared" ref="N89:R89" si="12">N78+N79+N84+N87</f>
        <v>0</v>
      </c>
      <c r="O89" s="128">
        <f t="shared" si="12"/>
        <v>0</v>
      </c>
      <c r="P89" s="128">
        <f t="shared" si="12"/>
        <v>0</v>
      </c>
      <c r="Q89" s="128">
        <f t="shared" si="12"/>
        <v>0</v>
      </c>
      <c r="R89" s="128">
        <f t="shared" si="12"/>
        <v>0</v>
      </c>
    </row>
    <row r="90" spans="1:18" s="133" customFormat="1" ht="14.25" customHeight="1" x14ac:dyDescent="0.3">
      <c r="A90" s="132" t="s">
        <v>176</v>
      </c>
      <c r="B90" s="123"/>
      <c r="C90" s="124"/>
      <c r="D90" s="128">
        <f t="shared" ref="D90:M90" si="13">(1-$B$44)*($B$15*$B$17)</f>
        <v>20625000</v>
      </c>
      <c r="E90" s="128">
        <f t="shared" si="13"/>
        <v>20625000</v>
      </c>
      <c r="F90" s="128">
        <f t="shared" si="13"/>
        <v>20625000</v>
      </c>
      <c r="G90" s="128">
        <f t="shared" si="13"/>
        <v>20625000</v>
      </c>
      <c r="H90" s="128">
        <f t="shared" si="13"/>
        <v>20625000</v>
      </c>
      <c r="I90" s="128">
        <f t="shared" si="13"/>
        <v>20625000</v>
      </c>
      <c r="J90" s="128">
        <f t="shared" si="13"/>
        <v>20625000</v>
      </c>
      <c r="K90" s="128">
        <f t="shared" si="13"/>
        <v>20625000</v>
      </c>
      <c r="L90" s="128">
        <f t="shared" si="13"/>
        <v>20625000</v>
      </c>
      <c r="M90" s="128">
        <f t="shared" si="13"/>
        <v>20625000</v>
      </c>
      <c r="N90" s="128">
        <f>IF($B$37&gt;=N$73,(1-$B$44)*($B$15*$B$17),0)</f>
        <v>0</v>
      </c>
      <c r="O90" s="128">
        <f>IF($B$37&gt;=O$73,(1-$B$44)*($B$15*$B$17),0)</f>
        <v>0</v>
      </c>
      <c r="P90" s="128">
        <f>IF($B$37&gt;=P$73,(1-$B$44)*($B$15*$B$17),0)</f>
        <v>0</v>
      </c>
      <c r="Q90" s="128">
        <f>IF($B$37&gt;=Q$73,(1-$B$44)*($B$15*$B$17),0)</f>
        <v>0</v>
      </c>
      <c r="R90" s="128">
        <f>IF($B$37&gt;=R$73,(1-$B$44)*($B$15*$B$17),0)</f>
        <v>0</v>
      </c>
    </row>
    <row r="91" spans="1:18" s="133" customFormat="1" ht="14.25" customHeight="1" x14ac:dyDescent="0.3">
      <c r="A91" s="124"/>
      <c r="B91" s="123"/>
      <c r="C91" s="124"/>
      <c r="D91" s="128"/>
      <c r="E91" s="128"/>
      <c r="F91" s="128"/>
      <c r="G91" s="128"/>
      <c r="H91" s="128"/>
      <c r="I91" s="128"/>
      <c r="J91" s="128"/>
      <c r="K91" s="128"/>
      <c r="L91" s="128"/>
      <c r="M91" s="128"/>
      <c r="N91" s="128"/>
      <c r="O91" s="128"/>
      <c r="P91" s="124"/>
      <c r="Q91" s="124"/>
      <c r="R91" s="124"/>
    </row>
    <row r="92" spans="1:18" s="133" customFormat="1" ht="14.25" customHeight="1" x14ac:dyDescent="0.3">
      <c r="A92" s="124"/>
      <c r="B92" s="123"/>
      <c r="C92" s="124"/>
      <c r="D92" s="128"/>
      <c r="E92" s="128"/>
      <c r="F92" s="128"/>
      <c r="G92" s="128"/>
      <c r="H92" s="128"/>
      <c r="I92" s="128"/>
      <c r="J92" s="128"/>
      <c r="K92" s="128"/>
      <c r="L92" s="128"/>
      <c r="M92" s="128"/>
      <c r="N92" s="128"/>
      <c r="O92" s="128"/>
      <c r="P92" s="124"/>
      <c r="Q92" s="124"/>
      <c r="R92" s="124"/>
    </row>
    <row r="93" spans="1:18" s="133" customFormat="1" ht="14.25" customHeight="1" x14ac:dyDescent="0.3">
      <c r="A93" s="124"/>
      <c r="B93" s="123"/>
      <c r="C93" s="124"/>
      <c r="D93" s="124"/>
      <c r="E93" s="124"/>
      <c r="F93" s="124"/>
      <c r="G93" s="124"/>
      <c r="H93" s="124"/>
      <c r="I93" s="124"/>
      <c r="J93" s="124"/>
      <c r="K93" s="124"/>
      <c r="L93" s="124"/>
      <c r="M93" s="124"/>
      <c r="N93" s="124"/>
      <c r="O93" s="124"/>
      <c r="P93" s="124"/>
      <c r="Q93" s="124"/>
      <c r="R93" s="124"/>
    </row>
    <row r="94" spans="1:18" s="133" customFormat="1" ht="5.0999999999999996" customHeight="1" x14ac:dyDescent="0.3">
      <c r="B94" s="135"/>
    </row>
    <row r="95" spans="1:18" s="133" customFormat="1" ht="14.25" customHeight="1" x14ac:dyDescent="0.3">
      <c r="B95" s="136" t="s">
        <v>12</v>
      </c>
      <c r="C95" s="137" t="s">
        <v>13</v>
      </c>
    </row>
    <row r="96" spans="1:18" s="133" customFormat="1" ht="14.25" customHeight="1" x14ac:dyDescent="0.3">
      <c r="A96" s="134" t="s">
        <v>177</v>
      </c>
      <c r="B96" s="138">
        <f>ROUND(((-C89-NPV(B41,D89:R89))/NPV(B41,D90:R90)),4)</f>
        <v>6.7500000000000004E-2</v>
      </c>
      <c r="C96" s="133" t="s">
        <v>178</v>
      </c>
    </row>
    <row r="97" spans="1:18" s="133" customFormat="1" ht="14.25" customHeight="1" x14ac:dyDescent="0.3">
      <c r="A97" s="120" t="s">
        <v>77</v>
      </c>
      <c r="B97" s="143">
        <f>B96/B34*1000</f>
        <v>346.3669950738917</v>
      </c>
      <c r="C97" s="120" t="s">
        <v>179</v>
      </c>
    </row>
    <row r="98" spans="1:18" s="133" customFormat="1" ht="5.0999999999999996" customHeight="1" x14ac:dyDescent="0.3">
      <c r="A98" s="134"/>
      <c r="B98" s="139"/>
    </row>
    <row r="99" spans="1:18" s="142" customFormat="1" x14ac:dyDescent="0.2">
      <c r="A99" s="140"/>
      <c r="B99" s="141"/>
      <c r="C99" s="140"/>
      <c r="D99" s="140"/>
      <c r="E99" s="140"/>
      <c r="F99" s="140"/>
      <c r="G99" s="140"/>
      <c r="H99" s="140"/>
      <c r="I99" s="140"/>
      <c r="J99" s="140"/>
      <c r="K99" s="140"/>
      <c r="L99" s="140"/>
      <c r="M99" s="140"/>
      <c r="N99" s="140"/>
      <c r="O99" s="140"/>
      <c r="P99" s="140"/>
      <c r="Q99" s="140"/>
      <c r="R99" s="140"/>
    </row>
    <row r="100" spans="1:18" s="72" customFormat="1" ht="14.25" customHeight="1" x14ac:dyDescent="0.3">
      <c r="A100" s="95" t="s">
        <v>158</v>
      </c>
      <c r="B100" s="96">
        <f>B55+B56</f>
        <v>245.79416492158515</v>
      </c>
      <c r="C100" s="40" t="s">
        <v>91</v>
      </c>
      <c r="D100" s="76"/>
      <c r="E100" s="40"/>
      <c r="F100" s="40"/>
      <c r="G100" s="40"/>
      <c r="H100" s="40"/>
      <c r="I100" s="40"/>
      <c r="J100" s="89"/>
      <c r="K100" s="40"/>
      <c r="L100" s="40"/>
      <c r="M100" s="40"/>
      <c r="N100" s="40"/>
      <c r="O100" s="40"/>
      <c r="P100" s="40"/>
      <c r="Q100" s="40"/>
      <c r="R100" s="40"/>
    </row>
    <row r="101" spans="1:18" s="72" customFormat="1" ht="14.25" customHeight="1" x14ac:dyDescent="0.3">
      <c r="A101" s="95" t="s">
        <v>159</v>
      </c>
      <c r="B101" s="96">
        <f>B55+B57</f>
        <v>182.86592190023867</v>
      </c>
      <c r="C101" s="40" t="s">
        <v>91</v>
      </c>
      <c r="D101" s="76"/>
      <c r="E101" s="40"/>
      <c r="F101" s="40"/>
      <c r="G101" s="40"/>
      <c r="H101" s="40"/>
      <c r="I101" s="40"/>
      <c r="J101" s="89"/>
      <c r="K101" s="40"/>
      <c r="L101" s="40"/>
      <c r="M101" s="40"/>
      <c r="N101" s="40"/>
      <c r="O101" s="40"/>
      <c r="P101" s="40"/>
      <c r="Q101" s="40"/>
      <c r="R101" s="40"/>
    </row>
    <row r="102" spans="1:18" s="72" customFormat="1" ht="14.25" customHeight="1" x14ac:dyDescent="0.3">
      <c r="A102" s="95" t="s">
        <v>160</v>
      </c>
      <c r="B102" s="96">
        <f>B55</f>
        <v>136.93907460959826</v>
      </c>
      <c r="C102" s="40" t="s">
        <v>91</v>
      </c>
      <c r="D102" s="76"/>
      <c r="E102" s="40"/>
      <c r="F102" s="40"/>
      <c r="G102" s="40"/>
      <c r="H102" s="40"/>
      <c r="I102" s="40"/>
      <c r="J102" s="89"/>
      <c r="K102" s="40"/>
      <c r="L102" s="40"/>
      <c r="M102" s="40"/>
      <c r="N102" s="40"/>
      <c r="O102" s="40"/>
      <c r="P102" s="40"/>
      <c r="Q102" s="40"/>
      <c r="R102" s="40"/>
    </row>
    <row r="103" spans="1:18" s="72" customFormat="1" ht="14.25" customHeight="1" x14ac:dyDescent="0.3">
      <c r="A103" s="95"/>
      <c r="B103" s="96"/>
      <c r="C103" s="40"/>
      <c r="D103" s="76"/>
      <c r="E103" s="40"/>
      <c r="F103" s="40"/>
      <c r="G103" s="40"/>
      <c r="H103" s="40"/>
      <c r="I103" s="40"/>
      <c r="J103" s="89"/>
      <c r="K103" s="40"/>
      <c r="L103" s="40"/>
      <c r="M103" s="40"/>
      <c r="N103" s="40"/>
      <c r="O103" s="40"/>
      <c r="P103" s="40"/>
      <c r="Q103" s="40"/>
      <c r="R103" s="40"/>
    </row>
    <row r="104" spans="1:18" s="142" customFormat="1" x14ac:dyDescent="0.2">
      <c r="A104" s="140"/>
      <c r="B104" s="141"/>
      <c r="C104" s="140"/>
      <c r="D104" s="140"/>
      <c r="E104" s="140"/>
      <c r="F104" s="140"/>
      <c r="G104" s="140"/>
      <c r="H104" s="140"/>
      <c r="I104" s="140"/>
      <c r="J104" s="140"/>
      <c r="K104" s="140"/>
      <c r="L104" s="140"/>
      <c r="M104" s="140"/>
      <c r="N104" s="140"/>
      <c r="O104" s="140"/>
      <c r="P104" s="140"/>
      <c r="Q104" s="140"/>
      <c r="R104" s="140"/>
    </row>
    <row r="105" spans="1:18" x14ac:dyDescent="0.2">
      <c r="A105" s="7"/>
      <c r="C105" s="5"/>
      <c r="D105" s="5"/>
      <c r="E105" s="5"/>
      <c r="F105" s="5"/>
      <c r="G105" s="5"/>
      <c r="H105" s="5"/>
      <c r="I105" s="5"/>
      <c r="J105" s="5"/>
    </row>
    <row r="106" spans="1:18" x14ac:dyDescent="0.2">
      <c r="C106" s="5"/>
      <c r="D106" s="5"/>
      <c r="E106" s="5"/>
      <c r="F106" s="5"/>
      <c r="G106" s="5"/>
      <c r="H106" s="5"/>
      <c r="I106" s="5"/>
      <c r="J106" s="5"/>
    </row>
    <row r="107" spans="1:18" x14ac:dyDescent="0.2">
      <c r="C107" s="5"/>
      <c r="D107" s="5"/>
      <c r="E107" s="5"/>
      <c r="F107" s="5"/>
      <c r="G107" s="5"/>
      <c r="H107" s="5"/>
      <c r="I107" s="5"/>
      <c r="J107" s="5"/>
    </row>
    <row r="108" spans="1:18" x14ac:dyDescent="0.2">
      <c r="C108" s="5"/>
      <c r="D108" s="5"/>
      <c r="E108" s="5"/>
      <c r="F108" s="5"/>
      <c r="G108" s="5"/>
      <c r="H108" s="5"/>
      <c r="I108" s="5"/>
      <c r="J108" s="5"/>
    </row>
    <row r="109" spans="1:18" x14ac:dyDescent="0.2">
      <c r="C109" s="5"/>
      <c r="D109" s="5"/>
      <c r="E109" s="5"/>
      <c r="F109" s="5"/>
      <c r="G109" s="5"/>
      <c r="H109" s="5"/>
      <c r="I109" s="5"/>
      <c r="J109" s="5"/>
    </row>
    <row r="110" spans="1:18" x14ac:dyDescent="0.2">
      <c r="C110" s="5"/>
      <c r="D110" s="5"/>
      <c r="E110" s="5"/>
      <c r="F110" s="5"/>
      <c r="G110" s="5"/>
      <c r="H110" s="5"/>
      <c r="I110" s="5"/>
      <c r="J110" s="5"/>
    </row>
    <row r="111" spans="1:18" x14ac:dyDescent="0.2">
      <c r="C111" s="5"/>
      <c r="D111" s="5"/>
      <c r="E111" s="5"/>
      <c r="F111" s="5"/>
      <c r="G111" s="5"/>
      <c r="H111" s="5"/>
      <c r="I111" s="5"/>
      <c r="J111" s="5"/>
    </row>
    <row r="112" spans="1:18" x14ac:dyDescent="0.2">
      <c r="C112" s="5"/>
      <c r="D112" s="5"/>
      <c r="E112" s="5"/>
      <c r="F112" s="5"/>
      <c r="G112" s="5"/>
      <c r="H112" s="5"/>
      <c r="I112" s="5"/>
      <c r="J112" s="5"/>
    </row>
    <row r="113" spans="1:10" x14ac:dyDescent="0.2">
      <c r="C113" s="5"/>
      <c r="D113" s="5"/>
      <c r="E113" s="5"/>
      <c r="F113" s="5"/>
      <c r="G113" s="5"/>
      <c r="H113" s="5"/>
      <c r="I113" s="5"/>
      <c r="J113" s="5"/>
    </row>
    <row r="116" spans="1:10" x14ac:dyDescent="0.2">
      <c r="A116" s="7"/>
      <c r="B116" s="4"/>
    </row>
    <row r="117" spans="1:10" x14ac:dyDescent="0.2">
      <c r="A117" s="7"/>
      <c r="C117" s="5"/>
      <c r="D117" s="5"/>
      <c r="E117" s="5"/>
      <c r="F117" s="5"/>
      <c r="G117" s="5"/>
      <c r="H117" s="5"/>
      <c r="I117" s="5"/>
      <c r="J117" s="5"/>
    </row>
    <row r="118" spans="1:10" x14ac:dyDescent="0.2">
      <c r="C118" s="5"/>
      <c r="D118" s="5"/>
      <c r="E118" s="5"/>
      <c r="F118" s="5"/>
      <c r="G118" s="5"/>
      <c r="H118" s="5"/>
      <c r="I118" s="5"/>
      <c r="J118" s="5"/>
    </row>
    <row r="119" spans="1:10" x14ac:dyDescent="0.2">
      <c r="C119" s="5"/>
      <c r="D119" s="5"/>
      <c r="E119" s="5"/>
      <c r="F119" s="5"/>
      <c r="G119" s="5"/>
      <c r="H119" s="5"/>
      <c r="I119" s="5"/>
      <c r="J119" s="5"/>
    </row>
    <row r="120" spans="1:10" x14ac:dyDescent="0.2">
      <c r="C120" s="5"/>
      <c r="D120" s="5"/>
      <c r="E120" s="5"/>
      <c r="F120" s="5"/>
      <c r="G120" s="5"/>
      <c r="H120" s="5"/>
      <c r="I120" s="5"/>
      <c r="J120" s="5"/>
    </row>
    <row r="121" spans="1:10" x14ac:dyDescent="0.2">
      <c r="C121" s="5"/>
      <c r="D121" s="5"/>
      <c r="E121" s="5"/>
      <c r="F121" s="5"/>
      <c r="G121" s="5"/>
      <c r="H121" s="5"/>
      <c r="I121" s="5"/>
      <c r="J121" s="5"/>
    </row>
    <row r="122" spans="1:10" x14ac:dyDescent="0.2">
      <c r="C122" s="5"/>
      <c r="D122" s="5"/>
      <c r="E122" s="5"/>
      <c r="F122" s="5"/>
      <c r="G122" s="5"/>
      <c r="H122" s="5"/>
      <c r="I122" s="5"/>
      <c r="J122" s="5"/>
    </row>
    <row r="123" spans="1:10" x14ac:dyDescent="0.2">
      <c r="C123" s="5"/>
      <c r="D123" s="5"/>
      <c r="E123" s="5"/>
      <c r="F123" s="5"/>
      <c r="G123" s="5"/>
      <c r="H123" s="5"/>
      <c r="I123" s="5"/>
      <c r="J123" s="5"/>
    </row>
    <row r="124" spans="1:10" x14ac:dyDescent="0.2">
      <c r="C124" s="5"/>
      <c r="D124" s="5"/>
      <c r="E124" s="5"/>
      <c r="F124" s="5"/>
      <c r="G124" s="5"/>
      <c r="H124" s="5"/>
      <c r="I124" s="5"/>
      <c r="J124" s="5"/>
    </row>
    <row r="128" spans="1:10" x14ac:dyDescent="0.2">
      <c r="B128" s="4"/>
    </row>
    <row r="129" spans="1:10" x14ac:dyDescent="0.2">
      <c r="A129" s="7"/>
      <c r="C129" s="9"/>
      <c r="D129" s="9"/>
      <c r="E129" s="9"/>
      <c r="F129" s="9"/>
      <c r="G129" s="9"/>
      <c r="H129" s="9"/>
    </row>
    <row r="130" spans="1:10" x14ac:dyDescent="0.2">
      <c r="C130" s="9"/>
      <c r="D130" s="9"/>
      <c r="E130" s="9"/>
      <c r="F130" s="9"/>
      <c r="G130" s="9"/>
      <c r="H130" s="9"/>
    </row>
    <row r="131" spans="1:10" x14ac:dyDescent="0.2">
      <c r="C131" s="9"/>
      <c r="D131" s="9"/>
      <c r="E131" s="9"/>
      <c r="F131" s="9"/>
      <c r="G131" s="9"/>
      <c r="H131" s="9"/>
    </row>
    <row r="132" spans="1:10" x14ac:dyDescent="0.2">
      <c r="C132" s="9"/>
      <c r="D132" s="9"/>
      <c r="E132" s="9"/>
      <c r="F132" s="9"/>
      <c r="G132" s="9"/>
      <c r="H132" s="9"/>
    </row>
    <row r="133" spans="1:10" x14ac:dyDescent="0.2">
      <c r="C133" s="9"/>
      <c r="D133" s="9"/>
      <c r="E133" s="9"/>
      <c r="F133" s="9"/>
      <c r="G133" s="9"/>
      <c r="H133" s="9"/>
    </row>
    <row r="134" spans="1:10" x14ac:dyDescent="0.2">
      <c r="A134" s="7"/>
      <c r="C134" s="9"/>
      <c r="D134" s="9"/>
      <c r="E134" s="9"/>
      <c r="F134" s="9"/>
      <c r="G134" s="9"/>
      <c r="H134" s="9"/>
      <c r="I134" s="5"/>
      <c r="J134" s="5"/>
    </row>
    <row r="135" spans="1:10" x14ac:dyDescent="0.2">
      <c r="C135" s="9"/>
      <c r="D135" s="9"/>
      <c r="E135" s="9"/>
      <c r="F135" s="9"/>
      <c r="G135" s="9"/>
      <c r="H135" s="9"/>
      <c r="I135" s="5"/>
      <c r="J135" s="5"/>
    </row>
    <row r="136" spans="1:10" x14ac:dyDescent="0.2">
      <c r="C136" s="9"/>
      <c r="D136" s="9"/>
      <c r="E136" s="9"/>
      <c r="F136" s="9"/>
      <c r="G136" s="9"/>
      <c r="H136" s="9"/>
      <c r="I136" s="5"/>
      <c r="J136" s="5"/>
    </row>
    <row r="137" spans="1:10" x14ac:dyDescent="0.2">
      <c r="C137" s="9"/>
      <c r="D137" s="9"/>
      <c r="E137" s="9"/>
      <c r="F137" s="9"/>
      <c r="G137" s="9"/>
      <c r="H137" s="9"/>
      <c r="I137" s="5"/>
      <c r="J137" s="5"/>
    </row>
    <row r="138" spans="1:10" x14ac:dyDescent="0.2">
      <c r="C138" s="9"/>
      <c r="D138" s="9"/>
      <c r="E138" s="9"/>
      <c r="F138" s="9"/>
      <c r="G138" s="9"/>
      <c r="H138" s="9"/>
      <c r="I138" s="5"/>
      <c r="J138" s="5"/>
    </row>
    <row r="139" spans="1:10" x14ac:dyDescent="0.2">
      <c r="C139" s="9"/>
      <c r="D139" s="9"/>
      <c r="E139" s="9"/>
      <c r="F139" s="9"/>
      <c r="G139" s="9"/>
      <c r="H139" s="9"/>
      <c r="I139" s="5"/>
      <c r="J139" s="5"/>
    </row>
    <row r="140" spans="1:10" x14ac:dyDescent="0.2">
      <c r="C140" s="9"/>
      <c r="D140" s="9"/>
      <c r="E140" s="9"/>
      <c r="F140" s="9"/>
      <c r="G140" s="9"/>
      <c r="H140" s="9"/>
      <c r="I140" s="5"/>
      <c r="J140" s="5"/>
    </row>
    <row r="141" spans="1:10" ht="14.4" x14ac:dyDescent="0.3">
      <c r="B141" s="8"/>
      <c r="C141" s="5"/>
      <c r="D141" s="5"/>
      <c r="E141" s="5"/>
      <c r="F141" s="5"/>
      <c r="G141" s="5"/>
      <c r="H141" s="5"/>
      <c r="I141" s="5"/>
      <c r="J141" s="5"/>
    </row>
    <row r="142" spans="1:10" ht="14.4" x14ac:dyDescent="0.3">
      <c r="B142" s="8"/>
      <c r="C142" s="5"/>
      <c r="D142" s="5"/>
      <c r="E142" s="5"/>
      <c r="F142" s="5"/>
      <c r="G142" s="5"/>
      <c r="H142" s="5"/>
      <c r="I142" s="5"/>
      <c r="J142" s="5"/>
    </row>
    <row r="143" spans="1:10" ht="14.4" x14ac:dyDescent="0.3">
      <c r="B143" s="8"/>
    </row>
  </sheetData>
  <sheetProtection algorithmName="SHA-512" hashValue="0rR2SjbIKA2AnfOBlZ3SEgBBe26HJDKtojYPRx2rgbfZNS01llG5SxSZ8Rzku+VBhLVYWBNFhMuCPQDTIKazTA==" saltValue="DxlmvEw7wPSB21SUu81INA==" spinCount="100000" sheet="1" objects="1" scenarios="1"/>
  <mergeCells count="2">
    <mergeCell ref="A10:R10"/>
    <mergeCell ref="A71:R71"/>
  </mergeCells>
  <conditionalFormatting sqref="A14:C14">
    <cfRule type="expression" dxfId="5" priority="3">
      <formula>B14=1</formula>
    </cfRule>
  </conditionalFormatting>
  <conditionalFormatting sqref="A16:D16">
    <cfRule type="expression" dxfId="4" priority="2">
      <formula>$B$16=1</formula>
    </cfRule>
  </conditionalFormatting>
  <conditionalFormatting sqref="P78:R79 P86:R87 P89:R90">
    <cfRule type="cellIs" dxfId="3" priority="1" operator="equal">
      <formula>0</formula>
    </cfRule>
  </conditionalFormatting>
  <dataValidations count="1">
    <dataValidation type="list" allowBlank="1" showInputMessage="1" showErrorMessage="1" sqref="A5:A6" xr:uid="{FEE712CA-1260-420E-88CF-7049A3FC461E}">
      <formula1>INDIRECT("tech_param[Technologie]")</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5D2B973BB8BB1488B74033A32DC78B7" ma:contentTypeVersion="4" ma:contentTypeDescription="Een nieuw document maken." ma:contentTypeScope="" ma:versionID="1d37b50b35ea2778468b9473aa1c8263">
  <xsd:schema xmlns:xsd="http://www.w3.org/2001/XMLSchema" xmlns:xs="http://www.w3.org/2001/XMLSchema" xmlns:p="http://schemas.microsoft.com/office/2006/metadata/properties" xmlns:ns2="145c36f9-e567-4c4c-9bf7-530968afc252" targetNamespace="http://schemas.microsoft.com/office/2006/metadata/properties" ma:root="true" ma:fieldsID="3b81d11d035f187048dd0b1340da89e4" ns2:_="">
    <xsd:import namespace="145c36f9-e567-4c4c-9bf7-530968afc25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c36f9-e567-4c4c-9bf7-530968afc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C84C71-D79B-4D4C-AB78-5BC0EA4C0B01}">
  <ds:schemaRefs>
    <ds:schemaRef ds:uri="http://purl.org/dc/terms/"/>
    <ds:schemaRef ds:uri="http://schemas.microsoft.com/office/2006/documentManagement/types"/>
    <ds:schemaRef ds:uri="http://purl.org/dc/elements/1.1/"/>
    <ds:schemaRef ds:uri="http://purl.org/dc/dcmitype/"/>
    <ds:schemaRef ds:uri="http://schemas.openxmlformats.org/package/2006/metadata/core-properties"/>
    <ds:schemaRef ds:uri="http://www.w3.org/XML/1998/namespace"/>
    <ds:schemaRef ds:uri="http://schemas.microsoft.com/office/infopath/2007/PartnerControls"/>
    <ds:schemaRef ds:uri="644dfac1-3f85-41a6-bd6a-11d738d17c4a"/>
    <ds:schemaRef ds:uri="http://schemas.microsoft.com/office/2006/metadata/properties"/>
  </ds:schemaRefs>
</ds:datastoreItem>
</file>

<file path=customXml/itemProps2.xml><?xml version="1.0" encoding="utf-8"?>
<ds:datastoreItem xmlns:ds="http://schemas.openxmlformats.org/officeDocument/2006/customXml" ds:itemID="{79FE3052-8F14-4FAB-95D7-16A5B46801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c36f9-e567-4c4c-9bf7-530968afc2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C14839-EFB4-471D-B90E-4F01AAA7E8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Toelichting</vt:lpstr>
      <vt:lpstr>Algemene parameters</vt:lpstr>
      <vt:lpstr>Technologie parameters</vt:lpstr>
      <vt:lpstr>e-boiler</vt:lpstr>
      <vt:lpstr>Warmtepomp 3,000u</vt:lpstr>
      <vt:lpstr>Warmtempomp 5,500u</vt:lpstr>
      <vt:lpstr>Warmtepomp 8,000u</vt:lpstr>
      <vt:lpstr>MVR 3,000u</vt:lpstr>
      <vt:lpstr>MVR 5,500u</vt:lpstr>
      <vt:lpstr>MVR 8,000u</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Miet Van Dael</dc:creator>
  <cp:keywords/>
  <dc:description/>
  <cp:lastModifiedBy>Laenen Korinne</cp:lastModifiedBy>
  <cp:revision/>
  <dcterms:created xsi:type="dcterms:W3CDTF">2024-06-28T06:20:10Z</dcterms:created>
  <dcterms:modified xsi:type="dcterms:W3CDTF">2025-01-31T11:36:25Z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0x01010015D2B973BB8BB1488B74033A32DC78B7</vt:lpwstr>
  </property>
</Properties>
</file>